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activeTab="1"/>
  </bookViews>
  <sheets>
    <sheet name="Assumptions" sheetId="1" r:id="rId1"/>
    <sheet name="Projection" sheetId="2" r:id="rId2"/>
    <sheet name="Avg Price &amp; Costs" sheetId="3" r:id="rId3"/>
  </sheets>
  <definedNames>
    <definedName name="_xlfn.IFERROR" hidden="1">#NAME?</definedName>
    <definedName name="Period">'Projection'!$B$4:$M$4</definedName>
    <definedName name="_xlnm.Print_Area" localSheetId="0">'Assumptions'!$A$1:$I$48</definedName>
    <definedName name="_xlnm.Print_Area" localSheetId="2">'Avg Price &amp; Costs'!$A$1:$I$12</definedName>
    <definedName name="_xlnm.Print_Area" localSheetId="1">'Projection'!$B$8:$M$37,'Projection'!$N$8:$N$376</definedName>
    <definedName name="_xlnm.Print_Titles" localSheetId="1">'Projection'!$A:$A,'Projection'!$1:$7</definedName>
  </definedNames>
  <calcPr fullCalcOnLoad="1"/>
</workbook>
</file>

<file path=xl/sharedStrings.xml><?xml version="1.0" encoding="utf-8"?>
<sst xmlns="http://schemas.openxmlformats.org/spreadsheetml/2006/main" count="200" uniqueCount="104">
  <si>
    <t>Sample Company</t>
  </si>
  <si>
    <t>Period</t>
  </si>
  <si>
    <t>Month</t>
  </si>
  <si>
    <t>Sales in Units</t>
  </si>
  <si>
    <t>Cash Balance - First of the Month</t>
  </si>
  <si>
    <t>Receipts:</t>
  </si>
  <si>
    <t>Construction Loan Draws</t>
  </si>
  <si>
    <t>Closings</t>
  </si>
  <si>
    <t>Collection on Receivables</t>
  </si>
  <si>
    <t>Deposits by Customers</t>
  </si>
  <si>
    <t>Total Cash Receipts</t>
  </si>
  <si>
    <t>Disbursements</t>
  </si>
  <si>
    <t>Purchases</t>
  </si>
  <si>
    <t>Indirect Construction Costs</t>
  </si>
  <si>
    <t>Financing Costs (Interest)</t>
  </si>
  <si>
    <t>Marketing Costs</t>
  </si>
  <si>
    <t>General &amp; Administrative Costs</t>
  </si>
  <si>
    <t>Construction Loan Repayments</t>
  </si>
  <si>
    <t>Total Disbursements</t>
  </si>
  <si>
    <t>Cash Excess (Shortage)</t>
  </si>
  <si>
    <t>Funds Needed</t>
  </si>
  <si>
    <t>Cash Balance - End of Month</t>
  </si>
  <si>
    <t>Beginning Date</t>
  </si>
  <si>
    <t>Remaining Periods</t>
  </si>
  <si>
    <t>Project Assumptions</t>
  </si>
  <si>
    <t>Length of Proforma (in Months)</t>
  </si>
  <si>
    <t>Selling</t>
  </si>
  <si>
    <t>Total</t>
  </si>
  <si>
    <t>Cost Per</t>
  </si>
  <si>
    <t>Cost</t>
  </si>
  <si>
    <t>Unit Description</t>
  </si>
  <si>
    <t>Units</t>
  </si>
  <si>
    <t>Price</t>
  </si>
  <si>
    <t>Revenues</t>
  </si>
  <si>
    <t>Per/Unit</t>
  </si>
  <si>
    <t>Model A</t>
  </si>
  <si>
    <t>Model B</t>
  </si>
  <si>
    <t>Model C</t>
  </si>
  <si>
    <t>--------</t>
  </si>
  <si>
    <t>Avg.</t>
  </si>
  <si>
    <t>Avg. Gross Profit</t>
  </si>
  <si>
    <t>Unit</t>
  </si>
  <si>
    <t>Number of units</t>
  </si>
  <si>
    <t>Average Selling Price</t>
  </si>
  <si>
    <t>Average Cost Per Unit</t>
  </si>
  <si>
    <t>Net cash flow for month</t>
  </si>
  <si>
    <t>Project Name</t>
  </si>
  <si>
    <t>12 Units</t>
  </si>
  <si>
    <t>Constr.</t>
  </si>
  <si>
    <t>Months before the sale</t>
  </si>
  <si>
    <t>Months</t>
  </si>
  <si>
    <t>Costs and borrowings</t>
  </si>
  <si>
    <t>Deposit on Land</t>
  </si>
  <si>
    <t>Date Due</t>
  </si>
  <si>
    <t>Land Deposit</t>
  </si>
  <si>
    <t>Other Costs</t>
  </si>
  <si>
    <t>From Per.</t>
  </si>
  <si>
    <t>To Per.</t>
  </si>
  <si>
    <t>Total Other Costs</t>
  </si>
  <si>
    <t>Safety Cash</t>
  </si>
  <si>
    <t>Inverse (in percent)</t>
  </si>
  <si>
    <t>Schedule of costs incurred</t>
  </si>
  <si>
    <t>Amount Loaned (Inverse)</t>
  </si>
  <si>
    <t>Schedule of amounts borrowed</t>
  </si>
  <si>
    <t>Deposits</t>
  </si>
  <si>
    <t>Deposit prepayment (in months)</t>
  </si>
  <si>
    <t>Accounts Receivable</t>
  </si>
  <si>
    <t>Cash Collections</t>
  </si>
  <si>
    <t>30 days for collection</t>
  </si>
  <si>
    <t>60 days for collection</t>
  </si>
  <si>
    <t>90 days for collection</t>
  </si>
  <si>
    <t>120 days for collection</t>
  </si>
  <si>
    <t>180 days for collection</t>
  </si>
  <si>
    <t>210 days for collection</t>
  </si>
  <si>
    <t>Month of Sale</t>
  </si>
  <si>
    <t>1 Month before sale</t>
  </si>
  <si>
    <t>3 Month before sale</t>
  </si>
  <si>
    <t>5 Month before sale</t>
  </si>
  <si>
    <t>Borrowings</t>
  </si>
  <si>
    <t>6 Months before sale</t>
  </si>
  <si>
    <t>4 Months before sale</t>
  </si>
  <si>
    <t>2 Months before sale</t>
  </si>
  <si>
    <t>Collections (months after sale (0 is the month of sale))</t>
  </si>
  <si>
    <t>Collection</t>
  </si>
  <si>
    <t>% of Revenue</t>
  </si>
  <si>
    <t>Cash Distributions</t>
  </si>
  <si>
    <t>Bank Financing</t>
  </si>
  <si>
    <t>Construction Costs</t>
  </si>
  <si>
    <t>Loan Amount</t>
  </si>
  <si>
    <t>Developer Contribution</t>
  </si>
  <si>
    <t>Multiplier</t>
  </si>
  <si>
    <t>Amont Paid per loan</t>
  </si>
  <si>
    <t>Construction Loan - LOC</t>
  </si>
  <si>
    <t>Cummulative Costs</t>
  </si>
  <si>
    <t>Repay loan</t>
  </si>
  <si>
    <t>Repayments</t>
  </si>
  <si>
    <t>Year</t>
  </si>
  <si>
    <t>Cash Contingency</t>
  </si>
  <si>
    <t>Period deposit due</t>
  </si>
  <si>
    <t>Misc. Assumptions</t>
  </si>
  <si>
    <t>Months before sale</t>
  </si>
  <si>
    <t>LOC Assumption</t>
  </si>
  <si>
    <t>Cash Flow Forecast</t>
  </si>
  <si>
    <t>Purchases/Borrowings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</si>
</sst>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mmm\-yy;@"/>
    <numFmt numFmtId="166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30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FF"/>
      <name val="Calibri"/>
      <family val="2"/>
    </font>
    <font>
      <b/>
      <sz val="18"/>
      <color theme="1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 horizontal="centerContinuous"/>
    </xf>
    <xf numFmtId="0" fontId="0" fillId="0" borderId="0" xfId="0" applyAlignment="1">
      <alignment horizontal="left" indent="1"/>
    </xf>
    <xf numFmtId="0" fontId="0" fillId="10" borderId="10" xfId="0" applyFill="1" applyBorder="1" applyAlignment="1" applyProtection="1">
      <alignment/>
      <protection hidden="1"/>
    </xf>
    <xf numFmtId="0" fontId="0" fillId="10" borderId="11" xfId="0" applyFill="1" applyBorder="1" applyAlignment="1" applyProtection="1">
      <alignment/>
      <protection hidden="1"/>
    </xf>
    <xf numFmtId="3" fontId="0" fillId="10" borderId="12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 quotePrefix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3" fontId="4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Continuous"/>
    </xf>
    <xf numFmtId="0" fontId="45" fillId="0" borderId="0" xfId="0" applyFont="1" applyAlignment="1">
      <alignment/>
    </xf>
    <xf numFmtId="164" fontId="0" fillId="10" borderId="13" xfId="0" applyNumberFormat="1" applyFill="1" applyBorder="1" applyAlignment="1" applyProtection="1">
      <alignment horizontal="right"/>
      <protection locked="0"/>
    </xf>
    <xf numFmtId="0" fontId="45" fillId="0" borderId="0" xfId="0" applyFont="1" applyAlignment="1">
      <alignment horizontal="centerContinuous"/>
    </xf>
    <xf numFmtId="3" fontId="44" fillId="0" borderId="0" xfId="0" applyNumberFormat="1" applyFont="1" applyFill="1" applyAlignment="1" applyProtection="1">
      <alignment/>
      <protection locked="0"/>
    </xf>
    <xf numFmtId="3" fontId="44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3" fontId="0" fillId="0" borderId="0" xfId="0" applyNumberFormat="1" applyAlignment="1" quotePrefix="1">
      <alignment horizontal="right"/>
    </xf>
    <xf numFmtId="0" fontId="0" fillId="33" borderId="14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6" fillId="33" borderId="14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21" xfId="0" applyNumberFormat="1" applyBorder="1" applyAlignment="1" applyProtection="1">
      <alignment horizontal="center"/>
      <protection hidden="1"/>
    </xf>
    <xf numFmtId="3" fontId="0" fillId="0" borderId="19" xfId="0" applyNumberFormat="1" applyBorder="1" applyAlignment="1" applyProtection="1">
      <alignment/>
      <protection hidden="1"/>
    </xf>
    <xf numFmtId="3" fontId="4" fillId="0" borderId="19" xfId="52" applyNumberFormat="1" applyFont="1" applyBorder="1" applyAlignment="1" applyProtection="1">
      <alignment/>
      <protection hidden="1"/>
    </xf>
    <xf numFmtId="3" fontId="0" fillId="0" borderId="0" xfId="0" applyNumberFormat="1" applyFill="1" applyAlignment="1">
      <alignment/>
    </xf>
    <xf numFmtId="166" fontId="0" fillId="10" borderId="12" xfId="58" applyNumberFormat="1" applyFont="1" applyFill="1" applyBorder="1" applyAlignment="1" applyProtection="1">
      <alignment/>
      <protection locked="0"/>
    </xf>
    <xf numFmtId="166" fontId="46" fillId="10" borderId="12" xfId="58" applyNumberFormat="1" applyFont="1" applyFill="1" applyBorder="1" applyAlignment="1" applyProtection="1">
      <alignment/>
      <protection locked="0"/>
    </xf>
    <xf numFmtId="3" fontId="46" fillId="10" borderId="12" xfId="58" applyNumberFormat="1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45" fillId="33" borderId="20" xfId="0" applyFont="1" applyFill="1" applyBorder="1" applyAlignment="1" applyProtection="1">
      <alignment/>
      <protection hidden="1"/>
    </xf>
    <xf numFmtId="9" fontId="0" fillId="0" borderId="19" xfId="58" applyFont="1" applyBorder="1" applyAlignment="1" applyProtection="1">
      <alignment/>
      <protection hidden="1"/>
    </xf>
    <xf numFmtId="9" fontId="0" fillId="10" borderId="12" xfId="58" applyFont="1" applyFill="1" applyBorder="1" applyAlignment="1" applyProtection="1">
      <alignment/>
      <protection locked="0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66" fontId="0" fillId="0" borderId="19" xfId="0" applyNumberFormat="1" applyBorder="1" applyAlignment="1">
      <alignment/>
    </xf>
    <xf numFmtId="0" fontId="0" fillId="0" borderId="19" xfId="0" applyFill="1" applyBorder="1" applyAlignment="1" applyProtection="1">
      <alignment/>
      <protection hidden="1"/>
    </xf>
    <xf numFmtId="166" fontId="46" fillId="10" borderId="19" xfId="58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hidden="1"/>
    </xf>
    <xf numFmtId="166" fontId="0" fillId="0" borderId="18" xfId="0" applyNumberFormat="1" applyBorder="1" applyAlignment="1">
      <alignment/>
    </xf>
    <xf numFmtId="9" fontId="9" fillId="0" borderId="22" xfId="0" applyNumberFormat="1" applyFont="1" applyFill="1" applyBorder="1" applyAlignment="1" applyProtection="1">
      <alignment horizontal="center"/>
      <protection locked="0"/>
    </xf>
    <xf numFmtId="9" fontId="9" fillId="0" borderId="14" xfId="0" applyNumberFormat="1" applyFont="1" applyFill="1" applyBorder="1" applyAlignment="1" applyProtection="1">
      <alignment horizontal="center"/>
      <protection locked="0"/>
    </xf>
    <xf numFmtId="9" fontId="9" fillId="0" borderId="22" xfId="0" applyNumberFormat="1" applyFont="1" applyFill="1" applyBorder="1" applyAlignment="1" applyProtection="1">
      <alignment horizontal="center"/>
      <protection hidden="1"/>
    </xf>
    <xf numFmtId="166" fontId="4" fillId="0" borderId="19" xfId="58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hidden="1"/>
    </xf>
    <xf numFmtId="3" fontId="0" fillId="0" borderId="12" xfId="0" applyNumberFormat="1" applyFill="1" applyBorder="1" applyAlignment="1" applyProtection="1">
      <alignment/>
      <protection hidden="1"/>
    </xf>
    <xf numFmtId="4" fontId="0" fillId="10" borderId="12" xfId="58" applyNumberFormat="1" applyFont="1" applyFill="1" applyBorder="1" applyAlignment="1" applyProtection="1">
      <alignment/>
      <protection locked="0"/>
    </xf>
    <xf numFmtId="3" fontId="0" fillId="0" borderId="0" xfId="44" applyNumberFormat="1" applyFont="1" applyFill="1" applyAlignment="1" quotePrefix="1">
      <alignment horizontal="right"/>
    </xf>
    <xf numFmtId="3" fontId="0" fillId="0" borderId="0" xfId="0" applyNumberFormat="1" applyBorder="1" applyAlignment="1" applyProtection="1" quotePrefix="1">
      <alignment/>
      <protection hidden="1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5" fontId="0" fillId="10" borderId="13" xfId="0" applyNumberFormat="1" applyFill="1" applyBorder="1" applyAlignment="1" applyProtection="1">
      <alignment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3" fontId="0" fillId="0" borderId="0" xfId="0" applyNumberFormat="1" applyFill="1" applyBorder="1" applyAlignment="1" applyProtection="1">
      <alignment/>
      <protection hidden="1"/>
    </xf>
    <xf numFmtId="9" fontId="0" fillId="0" borderId="12" xfId="58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0" zoomScaleNormal="80" zoomScalePageLayoutView="0" workbookViewId="0" topLeftCell="B1">
      <selection activeCell="G10" sqref="G10"/>
    </sheetView>
  </sheetViews>
  <sheetFormatPr defaultColWidth="9.140625" defaultRowHeight="15"/>
  <cols>
    <col min="1" max="1" width="31.57421875" style="0" customWidth="1"/>
    <col min="2" max="2" width="12.7109375" style="0" customWidth="1"/>
    <col min="3" max="3" width="11.8515625" style="0" customWidth="1"/>
    <col min="6" max="6" width="4.7109375" style="0" customWidth="1"/>
    <col min="7" max="7" width="40.140625" style="0" bestFit="1" customWidth="1"/>
    <col min="8" max="8" width="10.140625" style="0" bestFit="1" customWidth="1"/>
    <col min="11" max="11" width="32.421875" style="0" bestFit="1" customWidth="1"/>
    <col min="19" max="19" width="11.00390625" style="0" bestFit="1" customWidth="1"/>
  </cols>
  <sheetData>
    <row r="1" ht="23.25">
      <c r="A1" s="18" t="s">
        <v>0</v>
      </c>
    </row>
    <row r="3" spans="1:19" ht="23.25">
      <c r="A3" s="46" t="s">
        <v>24</v>
      </c>
      <c r="B3" s="45"/>
      <c r="G3" s="46" t="s">
        <v>101</v>
      </c>
      <c r="H3" s="45"/>
      <c r="K3" s="44" t="s">
        <v>51</v>
      </c>
      <c r="L3" s="25"/>
      <c r="M3" s="25"/>
      <c r="N3" s="25"/>
      <c r="O3" s="25"/>
      <c r="P3" s="25"/>
      <c r="Q3" s="25"/>
      <c r="R3" s="25"/>
      <c r="S3" s="45"/>
    </row>
    <row r="4" spans="1:19" ht="15">
      <c r="A4" s="3" t="s">
        <v>46</v>
      </c>
      <c r="B4" s="19" t="s">
        <v>47</v>
      </c>
      <c r="G4" s="60" t="s">
        <v>86</v>
      </c>
      <c r="H4" s="71">
        <f>C38</f>
        <v>0.7999999999999999</v>
      </c>
      <c r="K4" s="26"/>
      <c r="L4" s="27" t="s">
        <v>100</v>
      </c>
      <c r="M4" s="28"/>
      <c r="N4" s="28"/>
      <c r="O4" s="28"/>
      <c r="P4" s="28"/>
      <c r="Q4" s="28"/>
      <c r="R4" s="28"/>
      <c r="S4" s="29" t="s">
        <v>48</v>
      </c>
    </row>
    <row r="5" spans="1:19" ht="15">
      <c r="A5" s="3" t="s">
        <v>22</v>
      </c>
      <c r="B5" s="67">
        <v>41791</v>
      </c>
      <c r="G5" s="60" t="s">
        <v>87</v>
      </c>
      <c r="H5" s="61">
        <f>+$B$7*$B$9</f>
        <v>2700000</v>
      </c>
      <c r="K5" s="30" t="s">
        <v>49</v>
      </c>
      <c r="L5" s="31">
        <v>7</v>
      </c>
      <c r="M5" s="31">
        <f>L5-1</f>
        <v>6</v>
      </c>
      <c r="N5" s="31">
        <f>M5-1</f>
        <v>5</v>
      </c>
      <c r="O5" s="31">
        <f>N5-1</f>
        <v>4</v>
      </c>
      <c r="P5" s="31">
        <f>O5-1</f>
        <v>3</v>
      </c>
      <c r="Q5" s="31">
        <f>P5-1</f>
        <v>2</v>
      </c>
      <c r="R5" s="31">
        <f>Q5-1</f>
        <v>1</v>
      </c>
      <c r="S5" s="32" t="s">
        <v>50</v>
      </c>
    </row>
    <row r="6" spans="1:19" ht="15">
      <c r="A6" s="4" t="s">
        <v>25</v>
      </c>
      <c r="B6" s="5">
        <v>12</v>
      </c>
      <c r="G6" s="60" t="s">
        <v>88</v>
      </c>
      <c r="H6" s="61">
        <f>+H4*H5</f>
        <v>2160000</v>
      </c>
      <c r="K6" s="33" t="s">
        <v>60</v>
      </c>
      <c r="L6" s="57">
        <f>+B31</f>
        <v>0</v>
      </c>
      <c r="M6" s="57">
        <f>+B32</f>
        <v>0.1</v>
      </c>
      <c r="N6" s="57">
        <f>+B33</f>
        <v>0.25</v>
      </c>
      <c r="O6" s="57">
        <f>+B34</f>
        <v>0.3</v>
      </c>
      <c r="P6" s="57">
        <f>+B35</f>
        <v>0.35</v>
      </c>
      <c r="Q6" s="57">
        <f>+B36</f>
        <v>0</v>
      </c>
      <c r="R6" s="37">
        <f>+C37</f>
        <v>0</v>
      </c>
      <c r="S6" s="47">
        <f>SUM(L6:R6)</f>
        <v>0.9999999999999999</v>
      </c>
    </row>
    <row r="7" spans="1:19" ht="15">
      <c r="A7" s="4" t="s">
        <v>42</v>
      </c>
      <c r="B7" s="5">
        <f>+'Avg Price &amp; Costs'!B10</f>
        <v>12</v>
      </c>
      <c r="G7" s="60" t="s">
        <v>89</v>
      </c>
      <c r="H7" s="61">
        <f>+H5-H6</f>
        <v>540000</v>
      </c>
      <c r="K7" s="33" t="s">
        <v>61</v>
      </c>
      <c r="L7" s="35">
        <f aca="true" t="shared" si="0" ref="L7:R7">$B$9*L6</f>
        <v>0</v>
      </c>
      <c r="M7" s="36">
        <f t="shared" si="0"/>
        <v>22500</v>
      </c>
      <c r="N7" s="36">
        <f t="shared" si="0"/>
        <v>56250</v>
      </c>
      <c r="O7" s="36">
        <f t="shared" si="0"/>
        <v>67500</v>
      </c>
      <c r="P7" s="36">
        <f t="shared" si="0"/>
        <v>78750</v>
      </c>
      <c r="Q7" s="36">
        <f t="shared" si="0"/>
        <v>0</v>
      </c>
      <c r="R7" s="37">
        <f t="shared" si="0"/>
        <v>0</v>
      </c>
      <c r="S7" s="38">
        <f>SUM(L7:R7)</f>
        <v>225000</v>
      </c>
    </row>
    <row r="8" spans="1:19" ht="15">
      <c r="A8" s="4" t="s">
        <v>43</v>
      </c>
      <c r="B8" s="5">
        <f>+'Avg Price &amp; Costs'!D11</f>
        <v>300000</v>
      </c>
      <c r="G8" s="4" t="s">
        <v>90</v>
      </c>
      <c r="H8" s="62">
        <v>1.1</v>
      </c>
      <c r="K8" s="33" t="s">
        <v>62</v>
      </c>
      <c r="L8" s="57">
        <f>+C31</f>
        <v>0</v>
      </c>
      <c r="M8" s="57">
        <f>+C32</f>
        <v>0.1</v>
      </c>
      <c r="N8" s="57">
        <f>+C33</f>
        <v>0.25</v>
      </c>
      <c r="O8" s="57">
        <f>+C34</f>
        <v>0.3</v>
      </c>
      <c r="P8" s="57">
        <f>+C35</f>
        <v>0.15</v>
      </c>
      <c r="Q8" s="57">
        <f>+C36</f>
        <v>0</v>
      </c>
      <c r="R8" s="37">
        <f>+C37</f>
        <v>0</v>
      </c>
      <c r="S8" s="47">
        <f>SUM(L8:R8)</f>
        <v>0.7999999999999999</v>
      </c>
    </row>
    <row r="9" spans="1:20" ht="15">
      <c r="A9" s="4" t="s">
        <v>44</v>
      </c>
      <c r="B9" s="5">
        <f>+'Avg Price &amp; Costs'!I11</f>
        <v>225000</v>
      </c>
      <c r="G9" s="60" t="s">
        <v>91</v>
      </c>
      <c r="H9" s="61">
        <f>B9*$H$4*H8</f>
        <v>197999.99999999997</v>
      </c>
      <c r="K9" s="33" t="s">
        <v>63</v>
      </c>
      <c r="L9" s="35">
        <f aca="true" t="shared" si="1" ref="L9:R9">$B$9*L8</f>
        <v>0</v>
      </c>
      <c r="M9" s="36">
        <f t="shared" si="1"/>
        <v>22500</v>
      </c>
      <c r="N9" s="36">
        <f t="shared" si="1"/>
        <v>56250</v>
      </c>
      <c r="O9" s="36">
        <f t="shared" si="1"/>
        <v>67500</v>
      </c>
      <c r="P9" s="36">
        <f t="shared" si="1"/>
        <v>33750</v>
      </c>
      <c r="Q9" s="36">
        <f t="shared" si="1"/>
        <v>0</v>
      </c>
      <c r="R9" s="37">
        <f t="shared" si="1"/>
        <v>0</v>
      </c>
      <c r="S9" s="38">
        <f>SUM(L9:R9)</f>
        <v>180000</v>
      </c>
      <c r="T9" s="72" t="str">
        <f>IF(SUM(L9:R9)=S9,"0","error")</f>
        <v>0</v>
      </c>
    </row>
    <row r="10" spans="1:8" ht="15">
      <c r="A10" s="69"/>
      <c r="B10" s="69"/>
      <c r="G10" s="69"/>
      <c r="H10" s="70"/>
    </row>
    <row r="11" spans="1:8" ht="15">
      <c r="A11" s="69"/>
      <c r="B11" s="69"/>
      <c r="G11" s="69"/>
      <c r="H11" s="70"/>
    </row>
    <row r="12" spans="1:19" ht="23.25">
      <c r="A12" s="46" t="s">
        <v>99</v>
      </c>
      <c r="B12" s="45"/>
      <c r="G12" s="69"/>
      <c r="H12" s="70"/>
      <c r="K12" s="44" t="s">
        <v>66</v>
      </c>
      <c r="L12" s="25"/>
      <c r="M12" s="25"/>
      <c r="N12" s="25"/>
      <c r="O12" s="25"/>
      <c r="P12" s="25"/>
      <c r="Q12" s="25"/>
      <c r="R12" s="25"/>
      <c r="S12" s="45"/>
    </row>
    <row r="13" spans="1:19" ht="15">
      <c r="A13" s="4" t="s">
        <v>52</v>
      </c>
      <c r="B13" s="5">
        <f>B7*5000</f>
        <v>60000</v>
      </c>
      <c r="G13" s="69"/>
      <c r="H13" s="70"/>
      <c r="K13" s="26"/>
      <c r="L13" s="27" t="s">
        <v>82</v>
      </c>
      <c r="M13" s="28"/>
      <c r="N13" s="28"/>
      <c r="O13" s="28"/>
      <c r="P13" s="28"/>
      <c r="Q13" s="28"/>
      <c r="R13" s="28"/>
      <c r="S13" s="29" t="s">
        <v>83</v>
      </c>
    </row>
    <row r="14" spans="1:19" ht="15">
      <c r="A14" s="4" t="s">
        <v>98</v>
      </c>
      <c r="B14" s="5">
        <v>3</v>
      </c>
      <c r="G14" s="69"/>
      <c r="H14" s="70"/>
      <c r="K14" s="30" t="s">
        <v>49</v>
      </c>
      <c r="L14" s="31">
        <v>0</v>
      </c>
      <c r="M14" s="31">
        <f>L14+1</f>
        <v>1</v>
      </c>
      <c r="N14" s="31">
        <f>M14+1</f>
        <v>2</v>
      </c>
      <c r="O14" s="31">
        <f>N14+1</f>
        <v>3</v>
      </c>
      <c r="P14" s="31">
        <f>O14+1</f>
        <v>4</v>
      </c>
      <c r="Q14" s="31">
        <f>P14+1</f>
        <v>5</v>
      </c>
      <c r="R14" s="31">
        <f>Q14+1</f>
        <v>6</v>
      </c>
      <c r="S14" s="32" t="s">
        <v>50</v>
      </c>
    </row>
    <row r="15" spans="1:19" ht="15">
      <c r="A15" s="60" t="s">
        <v>53</v>
      </c>
      <c r="B15" s="68">
        <f>EOMONTH(B5,B14)</f>
        <v>41912</v>
      </c>
      <c r="C15">
        <f>IF(B15&lt;B5,"out of projection range","")</f>
      </c>
      <c r="G15" s="69"/>
      <c r="H15" s="70"/>
      <c r="K15" s="33" t="s">
        <v>84</v>
      </c>
      <c r="L15" s="34">
        <v>1</v>
      </c>
      <c r="M15" s="34">
        <v>0</v>
      </c>
      <c r="N15" s="34">
        <f>+B43</f>
        <v>0</v>
      </c>
      <c r="O15" s="34">
        <f>+B44</f>
        <v>0</v>
      </c>
      <c r="P15" s="34">
        <f>+B45</f>
        <v>0</v>
      </c>
      <c r="Q15" s="34">
        <f>+B46</f>
        <v>0</v>
      </c>
      <c r="R15" s="56">
        <f>1-SUM(L15:Q15)</f>
        <v>0</v>
      </c>
      <c r="S15" s="32"/>
    </row>
    <row r="16" spans="1:19" ht="15">
      <c r="A16" s="4" t="s">
        <v>64</v>
      </c>
      <c r="B16" s="48">
        <v>0.03</v>
      </c>
      <c r="G16" s="69"/>
      <c r="H16" s="70"/>
      <c r="K16" s="33" t="s">
        <v>60</v>
      </c>
      <c r="L16" s="57">
        <f>+R15</f>
        <v>0</v>
      </c>
      <c r="M16" s="57">
        <f>+Q15</f>
        <v>0</v>
      </c>
      <c r="N16" s="57">
        <f>+P15</f>
        <v>0</v>
      </c>
      <c r="O16" s="57">
        <f>+O15</f>
        <v>0</v>
      </c>
      <c r="P16" s="57">
        <f>+N15</f>
        <v>0</v>
      </c>
      <c r="Q16" s="57">
        <f>+M15</f>
        <v>0</v>
      </c>
      <c r="R16" s="58">
        <f>+L15</f>
        <v>1</v>
      </c>
      <c r="S16" s="39">
        <f>COUNTIF(L16:R16,"&gt;0")</f>
        <v>1</v>
      </c>
    </row>
    <row r="17" spans="1:8" ht="15">
      <c r="A17" s="4" t="s">
        <v>65</v>
      </c>
      <c r="B17" s="5">
        <v>2</v>
      </c>
      <c r="G17" s="69"/>
      <c r="H17" s="70"/>
    </row>
    <row r="18" spans="1:8" ht="15">
      <c r="A18" s="4" t="s">
        <v>97</v>
      </c>
      <c r="B18" s="5">
        <v>100000</v>
      </c>
      <c r="G18" s="69"/>
      <c r="H18" s="70"/>
    </row>
    <row r="19" spans="1:8" ht="15">
      <c r="A19" s="4" t="s">
        <v>59</v>
      </c>
      <c r="B19" s="5">
        <v>50000</v>
      </c>
      <c r="G19" s="69"/>
      <c r="H19" s="70"/>
    </row>
    <row r="20" spans="7:8" ht="15">
      <c r="G20" s="69"/>
      <c r="H20" s="70"/>
    </row>
    <row r="21" spans="1:8" ht="23.25">
      <c r="A21" s="46" t="s">
        <v>55</v>
      </c>
      <c r="B21" s="45"/>
      <c r="G21" s="69"/>
      <c r="H21" s="70"/>
    </row>
    <row r="22" spans="1:8" ht="15">
      <c r="A22" s="4"/>
      <c r="B22" s="41"/>
      <c r="C22" s="15" t="s">
        <v>56</v>
      </c>
      <c r="D22" s="15" t="s">
        <v>57</v>
      </c>
      <c r="G22" s="69"/>
      <c r="H22" s="70"/>
    </row>
    <row r="23" spans="1:8" ht="15">
      <c r="A23" s="4" t="s">
        <v>13</v>
      </c>
      <c r="B23" s="42">
        <v>0.025</v>
      </c>
      <c r="C23" s="43">
        <v>1</v>
      </c>
      <c r="D23" s="43">
        <f>$B$6</f>
        <v>12</v>
      </c>
      <c r="E23" s="5">
        <f>($B23*$B$7*$B$8)/(D23-C23+1)</f>
        <v>7500.000000000001</v>
      </c>
      <c r="G23" s="69"/>
      <c r="H23" s="70"/>
    </row>
    <row r="24" spans="1:8" ht="15">
      <c r="A24" s="4" t="s">
        <v>14</v>
      </c>
      <c r="B24" s="42">
        <v>0.045</v>
      </c>
      <c r="C24" s="43">
        <v>1</v>
      </c>
      <c r="D24" s="43">
        <f>$B$6</f>
        <v>12</v>
      </c>
      <c r="E24" s="5">
        <f>($B24*$B$7*$B$8)/(D24-C24+1)</f>
        <v>13500</v>
      </c>
      <c r="G24" s="69"/>
      <c r="H24" s="70"/>
    </row>
    <row r="25" spans="1:8" ht="15">
      <c r="A25" s="4" t="s">
        <v>15</v>
      </c>
      <c r="B25" s="42">
        <v>0.04</v>
      </c>
      <c r="C25" s="43">
        <v>2</v>
      </c>
      <c r="D25" s="43">
        <f>$B$6-1</f>
        <v>11</v>
      </c>
      <c r="E25" s="5">
        <f>($B25*$B$7*$B$8)/(D25-C25+1)</f>
        <v>14400</v>
      </c>
      <c r="G25" s="69"/>
      <c r="H25" s="70"/>
    </row>
    <row r="26" spans="1:8" ht="15">
      <c r="A26" s="4" t="s">
        <v>16</v>
      </c>
      <c r="B26" s="42">
        <v>0.04</v>
      </c>
      <c r="C26" s="43">
        <v>1</v>
      </c>
      <c r="D26" s="43">
        <f>$B$6</f>
        <v>12</v>
      </c>
      <c r="E26" s="5">
        <f>($B26*$B$7*$B$8)/(D26-C26+1)</f>
        <v>12000</v>
      </c>
      <c r="G26" s="69"/>
      <c r="H26" s="70"/>
    </row>
    <row r="27" spans="1:8" ht="15">
      <c r="A27" s="4" t="s">
        <v>58</v>
      </c>
      <c r="B27" s="41">
        <f>SUM(B23:B26)</f>
        <v>0.15000000000000002</v>
      </c>
      <c r="G27" s="69"/>
      <c r="H27" s="70"/>
    </row>
    <row r="28" spans="7:8" ht="15">
      <c r="G28" s="69"/>
      <c r="H28" s="70"/>
    </row>
    <row r="29" spans="1:8" ht="23.25">
      <c r="A29" s="46" t="s">
        <v>103</v>
      </c>
      <c r="B29" s="25"/>
      <c r="C29" s="45"/>
      <c r="G29" s="69"/>
      <c r="H29" s="70"/>
    </row>
    <row r="30" spans="1:8" ht="15">
      <c r="A30" s="54"/>
      <c r="B30" s="55" t="s">
        <v>12</v>
      </c>
      <c r="C30" s="55" t="s">
        <v>78</v>
      </c>
      <c r="G30" s="69"/>
      <c r="H30" s="70"/>
    </row>
    <row r="31" spans="1:8" ht="15">
      <c r="A31" s="4" t="s">
        <v>74</v>
      </c>
      <c r="B31" s="53">
        <v>0</v>
      </c>
      <c r="C31" s="53">
        <v>0</v>
      </c>
      <c r="D31">
        <f>IF(C31&gt;B31,"error","")</f>
      </c>
      <c r="G31" s="69"/>
      <c r="H31" s="70"/>
    </row>
    <row r="32" spans="1:8" ht="15">
      <c r="A32" s="4" t="s">
        <v>75</v>
      </c>
      <c r="B32" s="53">
        <v>0.1</v>
      </c>
      <c r="C32" s="53">
        <v>0.1</v>
      </c>
      <c r="D32">
        <f aca="true" t="shared" si="2" ref="D32:D37">IF(C32&gt;B32,"error","")</f>
      </c>
      <c r="G32" s="69"/>
      <c r="H32" s="70"/>
    </row>
    <row r="33" spans="1:8" ht="15">
      <c r="A33" s="4" t="s">
        <v>81</v>
      </c>
      <c r="B33" s="53">
        <v>0.25</v>
      </c>
      <c r="C33" s="53">
        <v>0.25</v>
      </c>
      <c r="D33">
        <f t="shared" si="2"/>
      </c>
      <c r="G33" s="69"/>
      <c r="H33" s="70"/>
    </row>
    <row r="34" spans="1:8" ht="15">
      <c r="A34" s="4" t="s">
        <v>76</v>
      </c>
      <c r="B34" s="53">
        <v>0.3</v>
      </c>
      <c r="C34" s="53">
        <v>0.3</v>
      </c>
      <c r="D34">
        <f t="shared" si="2"/>
      </c>
      <c r="G34" s="69"/>
      <c r="H34" s="70"/>
    </row>
    <row r="35" spans="1:8" ht="15">
      <c r="A35" s="4" t="s">
        <v>80</v>
      </c>
      <c r="B35" s="53">
        <v>0.35</v>
      </c>
      <c r="C35" s="53">
        <v>0.15</v>
      </c>
      <c r="D35">
        <f t="shared" si="2"/>
      </c>
      <c r="G35" s="69"/>
      <c r="H35" s="70"/>
    </row>
    <row r="36" spans="1:8" ht="15">
      <c r="A36" s="4" t="s">
        <v>77</v>
      </c>
      <c r="B36" s="53">
        <v>0</v>
      </c>
      <c r="C36" s="53">
        <v>0</v>
      </c>
      <c r="D36">
        <f t="shared" si="2"/>
      </c>
      <c r="G36" s="69"/>
      <c r="H36" s="70"/>
    </row>
    <row r="37" spans="1:8" ht="15">
      <c r="A37" s="4" t="s">
        <v>79</v>
      </c>
      <c r="B37" s="59">
        <f>1-SUM(B31:B36)</f>
        <v>0</v>
      </c>
      <c r="C37" s="53">
        <v>0</v>
      </c>
      <c r="D37">
        <f t="shared" si="2"/>
      </c>
      <c r="G37" s="69"/>
      <c r="H37" s="70"/>
    </row>
    <row r="38" spans="1:3" ht="15">
      <c r="A38" s="52" t="s">
        <v>27</v>
      </c>
      <c r="B38" s="51">
        <f>SUM(B31:B37)</f>
        <v>0.9999999999999999</v>
      </c>
      <c r="C38" s="51">
        <f>SUM(C31:C37)</f>
        <v>0.7999999999999999</v>
      </c>
    </row>
    <row r="40" spans="1:2" ht="23.25">
      <c r="A40" s="46" t="s">
        <v>66</v>
      </c>
      <c r="B40" s="45"/>
    </row>
    <row r="41" spans="1:2" ht="15">
      <c r="A41" s="4" t="s">
        <v>67</v>
      </c>
      <c r="B41" s="53">
        <v>0.25</v>
      </c>
    </row>
    <row r="42" spans="1:2" ht="15">
      <c r="A42" s="4" t="s">
        <v>68</v>
      </c>
      <c r="B42" s="53">
        <v>0.75</v>
      </c>
    </row>
    <row r="43" spans="1:2" ht="15">
      <c r="A43" s="4" t="s">
        <v>69</v>
      </c>
      <c r="B43" s="53">
        <v>0</v>
      </c>
    </row>
    <row r="44" spans="1:2" ht="15">
      <c r="A44" s="4" t="s">
        <v>70</v>
      </c>
      <c r="B44" s="53">
        <v>0</v>
      </c>
    </row>
    <row r="45" spans="1:2" ht="15">
      <c r="A45" s="4" t="s">
        <v>71</v>
      </c>
      <c r="B45" s="53">
        <v>0</v>
      </c>
    </row>
    <row r="46" spans="1:2" ht="15">
      <c r="A46" s="4" t="s">
        <v>72</v>
      </c>
      <c r="B46" s="53">
        <v>0</v>
      </c>
    </row>
    <row r="47" spans="1:2" ht="15">
      <c r="A47" s="4" t="s">
        <v>73</v>
      </c>
      <c r="B47" s="53">
        <f>1-SUM(B41:B46)</f>
        <v>0</v>
      </c>
    </row>
    <row r="48" spans="1:4" ht="15">
      <c r="A48" s="52" t="s">
        <v>27</v>
      </c>
      <c r="B48" s="51">
        <f>SUM(B41:B47)</f>
        <v>1</v>
      </c>
      <c r="D48" s="66"/>
    </row>
    <row r="49" spans="4:7" ht="15">
      <c r="D49" s="65"/>
      <c r="G49" s="69"/>
    </row>
  </sheetData>
  <sheetProtection/>
  <printOptions/>
  <pageMargins left="0.7" right="0.7" top="0.75" bottom="0.75" header="0.3" footer="0.3"/>
  <pageSetup fitToHeight="1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zoomScale="80" zoomScaleNormal="80" zoomScalePageLayoutView="0" workbookViewId="0" topLeftCell="A1">
      <selection activeCell="I19" sqref="I19"/>
    </sheetView>
  </sheetViews>
  <sheetFormatPr defaultColWidth="9.140625" defaultRowHeight="15"/>
  <cols>
    <col min="1" max="1" width="30.7109375" style="0" customWidth="1"/>
    <col min="2" max="14" width="10.7109375" style="0" customWidth="1"/>
  </cols>
  <sheetData>
    <row r="1" spans="1:14" ht="18.75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.75">
      <c r="A2" s="1" t="s">
        <v>102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18.75">
      <c r="A3" s="1"/>
    </row>
    <row r="4" spans="1:13" ht="15">
      <c r="A4" t="s">
        <v>1</v>
      </c>
      <c r="B4">
        <v>1</v>
      </c>
      <c r="C4">
        <f>+B4+1</f>
        <v>2</v>
      </c>
      <c r="D4">
        <f aca="true" t="shared" si="0" ref="D4:K4">+C4+1</f>
        <v>3</v>
      </c>
      <c r="E4">
        <f t="shared" si="0"/>
        <v>4</v>
      </c>
      <c r="F4">
        <f t="shared" si="0"/>
        <v>5</v>
      </c>
      <c r="G4">
        <f t="shared" si="0"/>
        <v>6</v>
      </c>
      <c r="H4">
        <f t="shared" si="0"/>
        <v>7</v>
      </c>
      <c r="I4">
        <f t="shared" si="0"/>
        <v>8</v>
      </c>
      <c r="J4">
        <f t="shared" si="0"/>
        <v>9</v>
      </c>
      <c r="K4">
        <f t="shared" si="0"/>
        <v>10</v>
      </c>
      <c r="L4">
        <f>+K4+1</f>
        <v>11</v>
      </c>
      <c r="M4">
        <f>+L4+1</f>
        <v>12</v>
      </c>
    </row>
    <row r="5" spans="1:13" ht="15" hidden="1">
      <c r="A5" t="s">
        <v>23</v>
      </c>
      <c r="B5" s="12">
        <f>Assumptions!B6</f>
        <v>12</v>
      </c>
      <c r="C5" s="12">
        <f>B5-1</f>
        <v>11</v>
      </c>
      <c r="D5" s="12">
        <f aca="true" t="shared" si="1" ref="D5:K5">C5-1</f>
        <v>10</v>
      </c>
      <c r="E5" s="12">
        <f t="shared" si="1"/>
        <v>9</v>
      </c>
      <c r="F5" s="12">
        <f t="shared" si="1"/>
        <v>8</v>
      </c>
      <c r="G5" s="12">
        <f t="shared" si="1"/>
        <v>7</v>
      </c>
      <c r="H5" s="12">
        <f t="shared" si="1"/>
        <v>6</v>
      </c>
      <c r="I5" s="12">
        <f t="shared" si="1"/>
        <v>5</v>
      </c>
      <c r="J5" s="12">
        <f t="shared" si="1"/>
        <v>4</v>
      </c>
      <c r="K5" s="12">
        <f t="shared" si="1"/>
        <v>3</v>
      </c>
      <c r="L5" s="12">
        <f>K5-1</f>
        <v>2</v>
      </c>
      <c r="M5" s="12">
        <f>L5-1</f>
        <v>1</v>
      </c>
    </row>
    <row r="6" spans="1:14" ht="15">
      <c r="A6" t="s">
        <v>2</v>
      </c>
      <c r="B6" s="16">
        <f>Assumptions!B5</f>
        <v>41791</v>
      </c>
      <c r="C6" s="16">
        <f>EOMONTH(B6,1)</f>
        <v>41851</v>
      </c>
      <c r="D6" s="16">
        <f aca="true" t="shared" si="2" ref="D6:K6">EOMONTH(C6,1)</f>
        <v>41882</v>
      </c>
      <c r="E6" s="16">
        <f t="shared" si="2"/>
        <v>41912</v>
      </c>
      <c r="F6" s="16">
        <f t="shared" si="2"/>
        <v>41943</v>
      </c>
      <c r="G6" s="16">
        <f t="shared" si="2"/>
        <v>41973</v>
      </c>
      <c r="H6" s="16">
        <f t="shared" si="2"/>
        <v>42004</v>
      </c>
      <c r="I6" s="16">
        <f t="shared" si="2"/>
        <v>42035</v>
      </c>
      <c r="J6" s="16">
        <f t="shared" si="2"/>
        <v>42063</v>
      </c>
      <c r="K6" s="16">
        <f t="shared" si="2"/>
        <v>42094</v>
      </c>
      <c r="L6" s="16">
        <f>EOMONTH(K6,1)</f>
        <v>42124</v>
      </c>
      <c r="M6" s="16">
        <f>EOMONTH(L6,1)</f>
        <v>42155</v>
      </c>
      <c r="N6" s="15" t="s">
        <v>27</v>
      </c>
    </row>
    <row r="7" spans="1:13" ht="15">
      <c r="A7" t="s">
        <v>96</v>
      </c>
      <c r="B7">
        <f>YEAR(B6)</f>
        <v>2014</v>
      </c>
      <c r="C7">
        <f aca="true" t="shared" si="3" ref="C7:M7">YEAR(C6)</f>
        <v>2014</v>
      </c>
      <c r="D7">
        <f t="shared" si="3"/>
        <v>2014</v>
      </c>
      <c r="E7">
        <f t="shared" si="3"/>
        <v>2014</v>
      </c>
      <c r="F7">
        <f t="shared" si="3"/>
        <v>2014</v>
      </c>
      <c r="G7">
        <f t="shared" si="3"/>
        <v>2014</v>
      </c>
      <c r="H7">
        <f t="shared" si="3"/>
        <v>2014</v>
      </c>
      <c r="I7">
        <f t="shared" si="3"/>
        <v>2015</v>
      </c>
      <c r="J7">
        <f t="shared" si="3"/>
        <v>2015</v>
      </c>
      <c r="K7">
        <f t="shared" si="3"/>
        <v>2015</v>
      </c>
      <c r="L7">
        <f t="shared" si="3"/>
        <v>2015</v>
      </c>
      <c r="M7">
        <f t="shared" si="3"/>
        <v>2015</v>
      </c>
    </row>
    <row r="8" spans="1:14" ht="15">
      <c r="A8" t="s">
        <v>3</v>
      </c>
      <c r="G8">
        <v>1</v>
      </c>
      <c r="H8">
        <v>2</v>
      </c>
      <c r="I8">
        <v>2</v>
      </c>
      <c r="J8">
        <v>3</v>
      </c>
      <c r="K8">
        <v>2</v>
      </c>
      <c r="L8">
        <v>1</v>
      </c>
      <c r="M8">
        <v>1</v>
      </c>
      <c r="N8">
        <f ca="1">SUM(B8:OFFSET(N8,0,-1))</f>
        <v>12</v>
      </c>
    </row>
    <row r="10" spans="1:14" ht="15">
      <c r="A10" t="s">
        <v>4</v>
      </c>
      <c r="B10" s="12">
        <v>0</v>
      </c>
      <c r="C10" s="12">
        <f>B37</f>
        <v>-33000</v>
      </c>
      <c r="D10" s="12">
        <f aca="true" t="shared" si="4" ref="D10:M10">C37</f>
        <v>-159150</v>
      </c>
      <c r="E10" s="12">
        <f t="shared" si="4"/>
        <v>-491550</v>
      </c>
      <c r="F10" s="12">
        <f t="shared" si="4"/>
        <v>-766200</v>
      </c>
      <c r="G10" s="12">
        <f t="shared" si="4"/>
        <v>-795600</v>
      </c>
      <c r="H10" s="12">
        <f t="shared" si="4"/>
        <v>-732000</v>
      </c>
      <c r="I10" s="12">
        <f t="shared" si="4"/>
        <v>-566400</v>
      </c>
      <c r="J10" s="12">
        <f t="shared" si="4"/>
        <v>-409800</v>
      </c>
      <c r="K10" s="12">
        <f t="shared" si="4"/>
        <v>-169199.99999999988</v>
      </c>
      <c r="L10" s="12">
        <f t="shared" si="4"/>
        <v>-21599.999999999825</v>
      </c>
      <c r="M10" s="12">
        <f t="shared" si="4"/>
        <v>42000</v>
      </c>
      <c r="N10" s="12">
        <f>B10</f>
        <v>0</v>
      </c>
    </row>
    <row r="11" spans="2:14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">
      <c r="A12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5">
      <c r="A13" s="49" t="s">
        <v>6</v>
      </c>
      <c r="B13" s="40">
        <f>+B73</f>
        <v>0</v>
      </c>
      <c r="C13" s="40">
        <f aca="true" t="shared" si="5" ref="C13:M13">+C73</f>
        <v>0</v>
      </c>
      <c r="D13" s="40">
        <f t="shared" si="5"/>
        <v>0</v>
      </c>
      <c r="E13" s="40">
        <f t="shared" si="5"/>
        <v>112500</v>
      </c>
      <c r="F13" s="40">
        <f t="shared" si="5"/>
        <v>506250</v>
      </c>
      <c r="G13" s="40">
        <f t="shared" si="5"/>
        <v>517500</v>
      </c>
      <c r="H13" s="40">
        <f t="shared" si="5"/>
        <v>427500</v>
      </c>
      <c r="I13" s="40">
        <f t="shared" si="5"/>
        <v>326250</v>
      </c>
      <c r="J13" s="40">
        <f t="shared" si="5"/>
        <v>168750</v>
      </c>
      <c r="K13" s="40">
        <f t="shared" si="5"/>
        <v>78750</v>
      </c>
      <c r="L13" s="40">
        <f t="shared" si="5"/>
        <v>22500</v>
      </c>
      <c r="M13" s="40">
        <f t="shared" si="5"/>
        <v>0</v>
      </c>
      <c r="N13" s="40">
        <f ca="1">SUM(B13:OFFSET(N13,0,-1))</f>
        <v>2160000</v>
      </c>
    </row>
    <row r="14" spans="1:14" ht="15">
      <c r="A14" s="2" t="s">
        <v>7</v>
      </c>
      <c r="B14" s="12">
        <f>B8*Assumptions!$B$8*Assumptions!$R$16</f>
        <v>0</v>
      </c>
      <c r="C14" s="12">
        <f>C8*Assumptions!$B$8*Assumptions!$R$16</f>
        <v>0</v>
      </c>
      <c r="D14" s="12">
        <f>D$8*Assumptions!$B$8*Assumptions!$R$16</f>
        <v>0</v>
      </c>
      <c r="E14" s="12">
        <f>E$8*Assumptions!$B$8*Assumptions!$R$16</f>
        <v>0</v>
      </c>
      <c r="F14" s="12">
        <f>F$8*Assumptions!$B$8*Assumptions!$R$16</f>
        <v>0</v>
      </c>
      <c r="G14" s="12">
        <f>G$8*Assumptions!$B$8*Assumptions!$R$16</f>
        <v>300000</v>
      </c>
      <c r="H14" s="12">
        <f>H$8*Assumptions!$B$8*Assumptions!$R$16</f>
        <v>600000</v>
      </c>
      <c r="I14" s="12">
        <f>I$8*Assumptions!$B$8*Assumptions!$R$16</f>
        <v>600000</v>
      </c>
      <c r="J14" s="12">
        <f>J$8*Assumptions!$B$8*Assumptions!$R$16</f>
        <v>900000</v>
      </c>
      <c r="K14" s="12">
        <f>K$8*Assumptions!$B$8*Assumptions!$R$16</f>
        <v>600000</v>
      </c>
      <c r="L14" s="12">
        <f>L$8*Assumptions!$B$8*Assumptions!$R$16</f>
        <v>300000</v>
      </c>
      <c r="M14" s="12">
        <f>M$8*Assumptions!$B$8*Assumptions!$R$16</f>
        <v>300000</v>
      </c>
      <c r="N14" s="12">
        <f ca="1">SUM(B14:OFFSET(N14,0,-1))</f>
        <v>3600000</v>
      </c>
    </row>
    <row r="15" spans="1:14" ht="15">
      <c r="A15" s="2" t="s">
        <v>8</v>
      </c>
      <c r="B15">
        <f ca="1">_xlfn.IFERROR(SUMPRODUCT(OFFSET(B$8,0,0,1,-MIN(B$1,Assumptions!$S$16)),OFFSET(Assumptions!$R$16,0,0,1,-MIN(B$1,Assumptions!$S$16)))*Assumptions!$B$8-B14,0)</f>
        <v>0</v>
      </c>
      <c r="C15">
        <f ca="1">_xlfn.IFERROR(SUMPRODUCT(OFFSET(C$8,0,0,1,-MIN(C$1,Assumptions!$S$16)),OFFSET(Assumptions!$R$16,0,0,1,-MIN(C$1,Assumptions!$S$16)))*Assumptions!$B$8-C14,0)</f>
        <v>0</v>
      </c>
      <c r="D15">
        <f ca="1">_xlfn.IFERROR(SUMPRODUCT(OFFSET(D$8,0,0,1,-MIN(D$1,Assumptions!$S$16)),OFFSET(Assumptions!$R$16,0,0,1,-MIN(D$1,Assumptions!$S$16)))*Assumptions!$B$8-D14,0)</f>
        <v>0</v>
      </c>
      <c r="E15">
        <f ca="1">_xlfn.IFERROR(SUMPRODUCT(OFFSET(E$8,0,0,1,-MIN(E$1,Assumptions!$S$16)),OFFSET(Assumptions!$R$16,0,0,1,-MIN(E$1,Assumptions!$S$16)))*Assumptions!$B$8-E14,0)</f>
        <v>0</v>
      </c>
      <c r="F15">
        <f ca="1">_xlfn.IFERROR(SUMPRODUCT(OFFSET(F$8,0,0,1,-MIN(F$1,Assumptions!$S$16)),OFFSET(Assumptions!$R$16,0,0,1,-MIN(F$1,Assumptions!$S$16)))*Assumptions!$B$8-F14,0)</f>
        <v>0</v>
      </c>
      <c r="G15">
        <f ca="1">_xlfn.IFERROR(SUMPRODUCT(OFFSET(G$8,0,0,1,-MIN(G$1,Assumptions!$S$16)),OFFSET(Assumptions!$R$16,0,0,1,-MIN(G$1,Assumptions!$S$16)))*Assumptions!$B$8-G14,0)</f>
        <v>0</v>
      </c>
      <c r="H15">
        <f ca="1">_xlfn.IFERROR(SUMPRODUCT(OFFSET(H$8,0,0,1,-MIN(H$1,Assumptions!$S$16)),OFFSET(Assumptions!$R$16,0,0,1,-MIN(H$1,Assumptions!$S$16)))*Assumptions!$B$8-H14,0)</f>
        <v>0</v>
      </c>
      <c r="I15">
        <f ca="1">_xlfn.IFERROR(SUMPRODUCT(OFFSET(I$8,0,0,1,-MIN(I$1,Assumptions!$S$16)),OFFSET(Assumptions!$R$16,0,0,1,-MIN(I$1,Assumptions!$S$16)))*Assumptions!$B$8-I14,0)</f>
        <v>0</v>
      </c>
      <c r="J15">
        <f ca="1">_xlfn.IFERROR(SUMPRODUCT(OFFSET(J$8,0,0,1,-MIN(J$1,Assumptions!$S$16)),OFFSET(Assumptions!$R$16,0,0,1,-MIN(J$1,Assumptions!$S$16)))*Assumptions!$B$8-J14,0)</f>
        <v>0</v>
      </c>
      <c r="K15">
        <f ca="1">_xlfn.IFERROR(SUMPRODUCT(OFFSET(K$8,0,0,1,-MIN(K$1,Assumptions!$S$16)),OFFSET(Assumptions!$R$16,0,0,1,-MIN(K$1,Assumptions!$S$16)))*Assumptions!$B$8-K14,0)</f>
        <v>0</v>
      </c>
      <c r="L15">
        <f ca="1">_xlfn.IFERROR(SUMPRODUCT(OFFSET(L$8,0,0,1,-MIN(L$1,Assumptions!$S$16)),OFFSET(Assumptions!$R$16,0,0,1,-MIN(L$1,Assumptions!$S$16)))*Assumptions!$B$8-L14,0)</f>
        <v>0</v>
      </c>
      <c r="M15">
        <f ca="1">_xlfn.IFERROR(SUMPRODUCT(OFFSET(M$8,0,0,1,-MIN(M$1,Assumptions!$S$16)),OFFSET(Assumptions!$R$16,0,0,1,-MIN(M$1,Assumptions!$S$16)))*Assumptions!$B$8-M14,0)</f>
        <v>0</v>
      </c>
      <c r="N15" s="12">
        <f ca="1">SUM(B15:OFFSET(N15,0,-1))</f>
        <v>0</v>
      </c>
    </row>
    <row r="16" spans="1:14" ht="15">
      <c r="A16" s="49" t="s">
        <v>9</v>
      </c>
      <c r="B16" s="40">
        <f ca="1">IF(B$5&gt;Assumptions!$B$17,Assumptions!$B$16*Assumptions!$B$8*OFFSET(B$8,0,Assumptions!$B$17),0)-B8*Assumptions!$B$8*Assumptions!$B$16</f>
        <v>0</v>
      </c>
      <c r="C16" s="40">
        <f ca="1">IF(C$5&gt;Assumptions!$B$17,Assumptions!$B$16*Assumptions!$B$8*OFFSET(C$8,0,Assumptions!$B$17),0)-C8*Assumptions!$B$8*Assumptions!$B$16</f>
        <v>0</v>
      </c>
      <c r="D16" s="40">
        <f ca="1">IF(D$5&gt;Assumptions!$B$17,Assumptions!$B$16*Assumptions!$B$8*OFFSET(D$8,0,Assumptions!$B$17),0)-D8*Assumptions!$B$8*Assumptions!$B$16</f>
        <v>0</v>
      </c>
      <c r="E16" s="40">
        <f ca="1">IF(E$5&gt;Assumptions!$B$17,Assumptions!$B$16*Assumptions!$B$8*OFFSET(E$8,0,Assumptions!$B$17),0)-E8*Assumptions!$B$8*Assumptions!$B$16</f>
        <v>9000</v>
      </c>
      <c r="F16" s="40">
        <f ca="1">IF(F$5&gt;Assumptions!$B$17,Assumptions!$B$16*Assumptions!$B$8*OFFSET(F$8,0,Assumptions!$B$17),0)-F8*Assumptions!$B$8*Assumptions!$B$16</f>
        <v>18000</v>
      </c>
      <c r="G16" s="40">
        <f ca="1">IF(G$5&gt;Assumptions!$B$17,Assumptions!$B$16*Assumptions!$B$8*OFFSET(G$8,0,Assumptions!$B$17),0)-G8*Assumptions!$B$8*Assumptions!$B$16</f>
        <v>9000</v>
      </c>
      <c r="H16" s="40">
        <f ca="1">IF(H$5&gt;Assumptions!$B$17,Assumptions!$B$16*Assumptions!$B$8*OFFSET(H$8,0,Assumptions!$B$17),0)-H8*Assumptions!$B$8*Assumptions!$B$16</f>
        <v>9000</v>
      </c>
      <c r="I16" s="40">
        <f ca="1">IF(I$5&gt;Assumptions!$B$17,Assumptions!$B$16*Assumptions!$B$8*OFFSET(I$8,0,Assumptions!$B$17),0)-I8*Assumptions!$B$8*Assumptions!$B$16</f>
        <v>0</v>
      </c>
      <c r="J16" s="40">
        <f ca="1">IF(J$5&gt;Assumptions!$B$17,Assumptions!$B$16*Assumptions!$B$8*OFFSET(J$8,0,Assumptions!$B$17),0)-J8*Assumptions!$B$8*Assumptions!$B$16</f>
        <v>-18000</v>
      </c>
      <c r="K16" s="40">
        <f ca="1">IF(K$5&gt;Assumptions!$B$17,Assumptions!$B$16*Assumptions!$B$8*OFFSET(K$8,0,Assumptions!$B$17),0)-K8*Assumptions!$B$8*Assumptions!$B$16</f>
        <v>-9000</v>
      </c>
      <c r="L16" s="40">
        <f ca="1">IF(L$5&gt;Assumptions!$B$17,Assumptions!$B$16*Assumptions!$B$8*OFFSET(L$8,0,Assumptions!$B$17),0)-L8*Assumptions!$B$8*Assumptions!$B$16</f>
        <v>-9000</v>
      </c>
      <c r="M16" s="40">
        <f ca="1">IF(M$5&gt;Assumptions!$B$17,Assumptions!$B$16*Assumptions!$B$8*OFFSET(M$8,0,Assumptions!$B$17),0)-M8*Assumptions!$B$8*Assumptions!$B$16</f>
        <v>-9000</v>
      </c>
      <c r="N16" s="40">
        <f ca="1">SUM(B16:OFFSET(N16,0,-1))</f>
        <v>0</v>
      </c>
    </row>
    <row r="17" spans="2:14" ht="15">
      <c r="B17" s="24" t="s">
        <v>38</v>
      </c>
      <c r="C17" s="24" t="s">
        <v>38</v>
      </c>
      <c r="D17" s="24" t="s">
        <v>38</v>
      </c>
      <c r="E17" s="24" t="s">
        <v>38</v>
      </c>
      <c r="F17" s="24" t="s">
        <v>38</v>
      </c>
      <c r="G17" s="24" t="s">
        <v>38</v>
      </c>
      <c r="H17" s="24" t="s">
        <v>38</v>
      </c>
      <c r="I17" s="24" t="s">
        <v>38</v>
      </c>
      <c r="J17" s="24" t="s">
        <v>38</v>
      </c>
      <c r="K17" s="24" t="s">
        <v>38</v>
      </c>
      <c r="L17" s="24" t="s">
        <v>38</v>
      </c>
      <c r="M17" s="24" t="s">
        <v>38</v>
      </c>
      <c r="N17" s="24" t="s">
        <v>38</v>
      </c>
    </row>
    <row r="18" spans="1:14" ht="15">
      <c r="A18" t="s">
        <v>10</v>
      </c>
      <c r="B18" s="12">
        <f>SUM(B12:B17)</f>
        <v>0</v>
      </c>
      <c r="C18" s="12">
        <f aca="true" t="shared" si="6" ref="C18:N18">SUM(C12:C17)</f>
        <v>0</v>
      </c>
      <c r="D18" s="12">
        <f t="shared" si="6"/>
        <v>0</v>
      </c>
      <c r="E18" s="12">
        <f t="shared" si="6"/>
        <v>121500</v>
      </c>
      <c r="F18" s="12">
        <f t="shared" si="6"/>
        <v>524250</v>
      </c>
      <c r="G18" s="12">
        <f t="shared" si="6"/>
        <v>826500</v>
      </c>
      <c r="H18" s="12">
        <f t="shared" si="6"/>
        <v>1036500</v>
      </c>
      <c r="I18" s="12">
        <f t="shared" si="6"/>
        <v>926250</v>
      </c>
      <c r="J18" s="12">
        <f t="shared" si="6"/>
        <v>1050750</v>
      </c>
      <c r="K18" s="12">
        <f t="shared" si="6"/>
        <v>669750</v>
      </c>
      <c r="L18" s="12">
        <f t="shared" si="6"/>
        <v>313500</v>
      </c>
      <c r="M18" s="12">
        <f t="shared" si="6"/>
        <v>291000</v>
      </c>
      <c r="N18" s="12">
        <f t="shared" si="6"/>
        <v>5760000</v>
      </c>
    </row>
    <row r="19" spans="2:14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">
      <c r="A20" t="s">
        <v>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">
      <c r="A21" t="s">
        <v>54</v>
      </c>
      <c r="B21" s="12">
        <f>IF(Assumptions!$B$14=B4,Assumptions!$B$13,0)</f>
        <v>0</v>
      </c>
      <c r="C21" s="12">
        <f>IF(Assumptions!$B$14=C4,Assumptions!$B$13,0)</f>
        <v>0</v>
      </c>
      <c r="D21" s="12">
        <f>IF(Assumptions!$B$14=D4,Assumptions!$B$13,0)</f>
        <v>60000</v>
      </c>
      <c r="E21" s="12">
        <f>IF(Assumptions!$B$14=E4,Assumptions!$B$13,0)</f>
        <v>0</v>
      </c>
      <c r="F21" s="12">
        <f>IF(Assumptions!$B$14=F4,Assumptions!$B$13,0)</f>
        <v>0</v>
      </c>
      <c r="G21" s="12">
        <f>IF(Assumptions!$B$14=G4,Assumptions!$B$13,0)</f>
        <v>0</v>
      </c>
      <c r="H21" s="12">
        <f>IF(Assumptions!$B$14=H4,Assumptions!$B$13,0)</f>
        <v>0</v>
      </c>
      <c r="I21" s="12">
        <f>IF(Assumptions!$B$14=I4,Assumptions!$B$13,0)</f>
        <v>0</v>
      </c>
      <c r="J21" s="12">
        <f>IF(Assumptions!$B$14=J4,Assumptions!$B$13,0)</f>
        <v>0</v>
      </c>
      <c r="K21" s="12">
        <f>IF(Assumptions!$B$14=K4,Assumptions!$B$13,0)</f>
        <v>0</v>
      </c>
      <c r="L21" s="12">
        <f>IF(Assumptions!$B$14=L4,Assumptions!$B$13,0)</f>
        <v>0</v>
      </c>
      <c r="M21" s="12">
        <f>IF(Assumptions!$B$14=M4,Assumptions!$B$13,0)</f>
        <v>0</v>
      </c>
      <c r="N21" s="40">
        <f ca="1">SUM(B21:OFFSET(N21,0,-1))</f>
        <v>60000</v>
      </c>
    </row>
    <row r="22" spans="1:14" ht="15">
      <c r="A22" s="50" t="s">
        <v>12</v>
      </c>
      <c r="B22" s="40">
        <f ca="1">SUMPRODUCT(OFFSET(Assumptions!$L$7,0,0,1,MIN(Assumptions!$L$5,B$5)),OFFSET(B$8,0,0,1,MIN(Assumptions!$L$5,B$5)))</f>
        <v>0</v>
      </c>
      <c r="C22" s="40">
        <f ca="1">SUMPRODUCT(OFFSET(Assumptions!$L$7,0,0,1,MIN(Assumptions!$L$5,C$5)),OFFSET(C$8,0,0,1,MIN(Assumptions!$L$5,C$5)))</f>
        <v>78750</v>
      </c>
      <c r="D22" s="40">
        <f ca="1">SUMPRODUCT(OFFSET(Assumptions!$L$7,0,0,1,MIN(Assumptions!$L$5,D$5)),OFFSET(D$8,0,0,1,MIN(Assumptions!$L$5,D$5)))</f>
        <v>225000</v>
      </c>
      <c r="E22" s="40">
        <f ca="1">SUMPRODUCT(OFFSET(Assumptions!$L$7,0,0,1,MIN(Assumptions!$L$5,E$5)),OFFSET(E$8,0,0,1,MIN(Assumptions!$L$5,E$5)))</f>
        <v>348750</v>
      </c>
      <c r="F22" s="40">
        <f ca="1">SUMPRODUCT(OFFSET(Assumptions!$L$7,0,0,1,MIN(Assumptions!$L$5,F$5)),OFFSET(F$8,0,0,1,MIN(Assumptions!$L$5,F$5)))</f>
        <v>506250</v>
      </c>
      <c r="G22" s="40">
        <f ca="1">SUMPRODUCT(OFFSET(Assumptions!$L$7,0,0,1,MIN(Assumptions!$L$5,G$5)),OFFSET(G$8,0,0,1,MIN(Assumptions!$L$5,G$5)))</f>
        <v>517500</v>
      </c>
      <c r="H22" s="40">
        <f ca="1">SUMPRODUCT(OFFSET(Assumptions!$L$7,0,0,1,MIN(Assumptions!$L$5,H$5)),OFFSET(H$8,0,0,1,MIN(Assumptions!$L$5,H$5)))</f>
        <v>427500</v>
      </c>
      <c r="I22" s="40">
        <f ca="1">SUMPRODUCT(OFFSET(Assumptions!$L$7,0,0,1,MIN(Assumptions!$L$5,I$5)),OFFSET(I$8,0,0,1,MIN(Assumptions!$L$5,I$5)))</f>
        <v>326250</v>
      </c>
      <c r="J22" s="40">
        <f ca="1">SUMPRODUCT(OFFSET(Assumptions!$L$7,0,0,1,MIN(Assumptions!$L$5,J$5)),OFFSET(J$8,0,0,1,MIN(Assumptions!$L$5,J$5)))</f>
        <v>168750</v>
      </c>
      <c r="K22" s="40">
        <f ca="1">SUMPRODUCT(OFFSET(Assumptions!$L$7,0,0,1,MIN(Assumptions!$L$5,K$5)),OFFSET(K$8,0,0,1,MIN(Assumptions!$L$5,K$5)))</f>
        <v>78750</v>
      </c>
      <c r="L22" s="40">
        <f ca="1">SUMPRODUCT(OFFSET(Assumptions!$L$7,0,0,1,MIN(Assumptions!$L$5,L$5)),OFFSET(L$8,0,0,1,MIN(Assumptions!$L$5,L$5)))</f>
        <v>22500</v>
      </c>
      <c r="M22" s="40">
        <f ca="1">SUMPRODUCT(OFFSET(Assumptions!$L$7,0,0,1,MIN(Assumptions!$L$5,M$5)),OFFSET(M$8,0,0,1,MIN(Assumptions!$L$5,M$5)))</f>
        <v>0</v>
      </c>
      <c r="N22" s="40">
        <f ca="1">SUM(B22:OFFSET(N22,0,-1))</f>
        <v>2700000</v>
      </c>
    </row>
    <row r="23" spans="1:14" ht="15">
      <c r="A23" t="s">
        <v>13</v>
      </c>
      <c r="B23" s="12">
        <f>IF(AND(B$4&gt;=Assumptions!$C23,B$4&lt;=Assumptions!$D23),Assumptions!$E23,0)</f>
        <v>7500.000000000001</v>
      </c>
      <c r="C23" s="12">
        <f>IF(AND(C$4&gt;=Assumptions!$C23,C$4&lt;=Assumptions!$D23),Assumptions!$E23,0)</f>
        <v>7500.000000000001</v>
      </c>
      <c r="D23" s="12">
        <f>IF(AND(D$4&gt;=Assumptions!$C23,D$4&lt;=Assumptions!$D23),Assumptions!$E23,0)</f>
        <v>7500.000000000001</v>
      </c>
      <c r="E23" s="12">
        <f>IF(AND(E$4&gt;=Assumptions!$C23,E$4&lt;=Assumptions!$D23),Assumptions!$E23,0)</f>
        <v>7500.000000000001</v>
      </c>
      <c r="F23" s="12">
        <f>IF(AND(F$4&gt;=Assumptions!$C23,F$4&lt;=Assumptions!$D23),Assumptions!$E23,0)</f>
        <v>7500.000000000001</v>
      </c>
      <c r="G23" s="12">
        <f>IF(AND(G$4&gt;=Assumptions!$C23,G$4&lt;=Assumptions!$D23),Assumptions!$E23,0)</f>
        <v>7500.000000000001</v>
      </c>
      <c r="H23" s="12">
        <f>IF(AND(H$4&gt;=Assumptions!$C23,H$4&lt;=Assumptions!$D23),Assumptions!$E23,0)</f>
        <v>7500.000000000001</v>
      </c>
      <c r="I23" s="12">
        <f>IF(AND(I$4&gt;=Assumptions!$C23,I$4&lt;=Assumptions!$D23),Assumptions!$E23,0)</f>
        <v>7500.000000000001</v>
      </c>
      <c r="J23" s="12">
        <f>IF(AND(J$4&gt;=Assumptions!$C23,J$4&lt;=Assumptions!$D23),Assumptions!$E23,0)</f>
        <v>7500.000000000001</v>
      </c>
      <c r="K23" s="12">
        <f>IF(AND(K$4&gt;=Assumptions!$C23,K$4&lt;=Assumptions!$D23),Assumptions!$E23,0)</f>
        <v>7500.000000000001</v>
      </c>
      <c r="L23" s="12">
        <f>IF(AND(L$4&gt;=Assumptions!$C23,L$4&lt;=Assumptions!$D23),Assumptions!$E23,0)</f>
        <v>7500.000000000001</v>
      </c>
      <c r="M23" s="12">
        <f>IF(AND(M$4&gt;=Assumptions!$C23,M$4&lt;=Assumptions!$D23),Assumptions!$E23,0)</f>
        <v>7500.000000000001</v>
      </c>
      <c r="N23" s="12">
        <f ca="1">SUM(B23:OFFSET(N23,0,-1))</f>
        <v>90000.00000000001</v>
      </c>
    </row>
    <row r="24" spans="1:14" ht="15">
      <c r="A24" t="s">
        <v>14</v>
      </c>
      <c r="B24" s="12">
        <f>IF(AND(B$4&gt;=Assumptions!$C24,B$4&lt;=Assumptions!$D24),Assumptions!$E24,0)</f>
        <v>13500</v>
      </c>
      <c r="C24" s="12">
        <f>IF(AND(C$4&gt;=Assumptions!$C24,C$4&lt;=Assumptions!$D24),Assumptions!$E24,0)</f>
        <v>13500</v>
      </c>
      <c r="D24" s="12">
        <f>IF(AND(D$4&gt;=Assumptions!$C24,D$4&lt;=Assumptions!$D24),Assumptions!$E24,0)</f>
        <v>13500</v>
      </c>
      <c r="E24" s="12">
        <f>IF(AND(E$4&gt;=Assumptions!$C24,E$4&lt;=Assumptions!$D24),Assumptions!$E24,0)</f>
        <v>13500</v>
      </c>
      <c r="F24" s="12">
        <f>IF(AND(F$4&gt;=Assumptions!$C24,F$4&lt;=Assumptions!$D24),Assumptions!$E24,0)</f>
        <v>13500</v>
      </c>
      <c r="G24" s="12">
        <f>IF(AND(G$4&gt;=Assumptions!$C24,G$4&lt;=Assumptions!$D24),Assumptions!$E24,0)</f>
        <v>13500</v>
      </c>
      <c r="H24" s="12">
        <f>IF(AND(H$4&gt;=Assumptions!$C24,H$4&lt;=Assumptions!$D24),Assumptions!$E24,0)</f>
        <v>13500</v>
      </c>
      <c r="I24" s="12">
        <f>IF(AND(I$4&gt;=Assumptions!$C24,I$4&lt;=Assumptions!$D24),Assumptions!$E24,0)</f>
        <v>13500</v>
      </c>
      <c r="J24" s="12">
        <f>IF(AND(J$4&gt;=Assumptions!$C24,J$4&lt;=Assumptions!$D24),Assumptions!$E24,0)</f>
        <v>13500</v>
      </c>
      <c r="K24" s="12">
        <f>IF(AND(K$4&gt;=Assumptions!$C24,K$4&lt;=Assumptions!$D24),Assumptions!$E24,0)</f>
        <v>13500</v>
      </c>
      <c r="L24" s="12">
        <f>IF(AND(L$4&gt;=Assumptions!$C24,L$4&lt;=Assumptions!$D24),Assumptions!$E24,0)</f>
        <v>13500</v>
      </c>
      <c r="M24" s="12">
        <f>IF(AND(M$4&gt;=Assumptions!$C24,M$4&lt;=Assumptions!$D24),Assumptions!$E24,0)</f>
        <v>13500</v>
      </c>
      <c r="N24" s="12">
        <f ca="1">SUM(B24:OFFSET(N24,0,-1))</f>
        <v>162000</v>
      </c>
    </row>
    <row r="25" spans="1:14" ht="15">
      <c r="A25" t="s">
        <v>15</v>
      </c>
      <c r="B25" s="12">
        <f>IF(AND(B$4&gt;=Assumptions!$C25,B$4&lt;=Assumptions!$D25),Assumptions!$E25,0)</f>
        <v>0</v>
      </c>
      <c r="C25" s="12">
        <f>IF(AND(C$4&gt;=Assumptions!$C25,C$4&lt;=Assumptions!$D25),Assumptions!$E25,0)</f>
        <v>14400</v>
      </c>
      <c r="D25" s="12">
        <f>IF(AND(D$4&gt;=Assumptions!$C25,D$4&lt;=Assumptions!$D25),Assumptions!$E25,0)</f>
        <v>14400</v>
      </c>
      <c r="E25" s="12">
        <f>IF(AND(E$4&gt;=Assumptions!$C25,E$4&lt;=Assumptions!$D25),Assumptions!$E25,0)</f>
        <v>14400</v>
      </c>
      <c r="F25" s="12">
        <f>IF(AND(F$4&gt;=Assumptions!$C25,F$4&lt;=Assumptions!$D25),Assumptions!$E25,0)</f>
        <v>14400</v>
      </c>
      <c r="G25" s="12">
        <f>IF(AND(G$4&gt;=Assumptions!$C25,G$4&lt;=Assumptions!$D25),Assumptions!$E25,0)</f>
        <v>14400</v>
      </c>
      <c r="H25" s="12">
        <f>IF(AND(H$4&gt;=Assumptions!$C25,H$4&lt;=Assumptions!$D25),Assumptions!$E25,0)</f>
        <v>14400</v>
      </c>
      <c r="I25" s="12">
        <f>IF(AND(I$4&gt;=Assumptions!$C25,I$4&lt;=Assumptions!$D25),Assumptions!$E25,0)</f>
        <v>14400</v>
      </c>
      <c r="J25" s="12">
        <f>IF(AND(J$4&gt;=Assumptions!$C25,J$4&lt;=Assumptions!$D25),Assumptions!$E25,0)</f>
        <v>14400</v>
      </c>
      <c r="K25" s="12">
        <f>IF(AND(K$4&gt;=Assumptions!$C25,K$4&lt;=Assumptions!$D25),Assumptions!$E25,0)</f>
        <v>14400</v>
      </c>
      <c r="L25" s="12">
        <f>IF(AND(L$4&gt;=Assumptions!$C25,L$4&lt;=Assumptions!$D25),Assumptions!$E25,0)</f>
        <v>14400</v>
      </c>
      <c r="M25" s="12">
        <f>IF(AND(M$4&gt;=Assumptions!$C25,M$4&lt;=Assumptions!$D25),Assumptions!$E25,0)</f>
        <v>0</v>
      </c>
      <c r="N25" s="12">
        <f ca="1">SUM(B25:OFFSET(N25,0,-1))</f>
        <v>144000</v>
      </c>
    </row>
    <row r="26" spans="1:14" ht="15">
      <c r="A26" t="s">
        <v>16</v>
      </c>
      <c r="B26" s="12">
        <f>IF(AND(B$4&gt;=Assumptions!$C26,B$4&lt;=Assumptions!$D26),Assumptions!$E26,0)</f>
        <v>12000</v>
      </c>
      <c r="C26" s="12">
        <f>IF(AND(C$4&gt;=Assumptions!$C26,C$4&lt;=Assumptions!$D26),Assumptions!$E26,0)</f>
        <v>12000</v>
      </c>
      <c r="D26" s="12">
        <f>IF(AND(D$4&gt;=Assumptions!$C26,D$4&lt;=Assumptions!$D26),Assumptions!$E26,0)</f>
        <v>12000</v>
      </c>
      <c r="E26" s="12">
        <f>IF(AND(E$4&gt;=Assumptions!$C26,E$4&lt;=Assumptions!$D26),Assumptions!$E26,0)</f>
        <v>12000</v>
      </c>
      <c r="F26" s="12">
        <f>IF(AND(F$4&gt;=Assumptions!$C26,F$4&lt;=Assumptions!$D26),Assumptions!$E26,0)</f>
        <v>12000</v>
      </c>
      <c r="G26" s="12">
        <f>IF(AND(G$4&gt;=Assumptions!$C26,G$4&lt;=Assumptions!$D26),Assumptions!$E26,0)</f>
        <v>12000</v>
      </c>
      <c r="H26" s="12">
        <f>IF(AND(H$4&gt;=Assumptions!$C26,H$4&lt;=Assumptions!$D26),Assumptions!$E26,0)</f>
        <v>12000</v>
      </c>
      <c r="I26" s="12">
        <f>IF(AND(I$4&gt;=Assumptions!$C26,I$4&lt;=Assumptions!$D26),Assumptions!$E26,0)</f>
        <v>12000</v>
      </c>
      <c r="J26" s="12">
        <f>IF(AND(J$4&gt;=Assumptions!$C26,J$4&lt;=Assumptions!$D26),Assumptions!$E26,0)</f>
        <v>12000</v>
      </c>
      <c r="K26" s="12">
        <f>IF(AND(K$4&gt;=Assumptions!$C26,K$4&lt;=Assumptions!$D26),Assumptions!$E26,0)</f>
        <v>12000</v>
      </c>
      <c r="L26" s="12">
        <f>IF(AND(L$4&gt;=Assumptions!$C26,L$4&lt;=Assumptions!$D26),Assumptions!$E26,0)</f>
        <v>12000</v>
      </c>
      <c r="M26" s="12">
        <f>IF(AND(M$4&gt;=Assumptions!$C26,M$4&lt;=Assumptions!$D26),Assumptions!$E26,0)</f>
        <v>12000</v>
      </c>
      <c r="N26" s="12">
        <f ca="1">SUM(B26:OFFSET(N26,0,-1))</f>
        <v>144000</v>
      </c>
    </row>
    <row r="27" spans="1:14" ht="15">
      <c r="A27" t="s">
        <v>17</v>
      </c>
      <c r="B27" s="40">
        <f>+B74</f>
        <v>0</v>
      </c>
      <c r="C27" s="40">
        <f aca="true" t="shared" si="7" ref="C27:M27">+C74</f>
        <v>0</v>
      </c>
      <c r="D27" s="40">
        <f t="shared" si="7"/>
        <v>0</v>
      </c>
      <c r="E27" s="40">
        <f t="shared" si="7"/>
        <v>0</v>
      </c>
      <c r="F27" s="40">
        <f t="shared" si="7"/>
        <v>0</v>
      </c>
      <c r="G27" s="40">
        <f t="shared" si="7"/>
        <v>197999.99999999997</v>
      </c>
      <c r="H27" s="40">
        <f t="shared" si="7"/>
        <v>395999.99999999994</v>
      </c>
      <c r="I27" s="40">
        <f t="shared" si="7"/>
        <v>395999.99999999994</v>
      </c>
      <c r="J27" s="40">
        <f t="shared" si="7"/>
        <v>593999.9999999999</v>
      </c>
      <c r="K27" s="40">
        <f t="shared" si="7"/>
        <v>395999.99999999994</v>
      </c>
      <c r="L27" s="40">
        <f t="shared" si="7"/>
        <v>180000.00000000017</v>
      </c>
      <c r="M27" s="40">
        <f t="shared" si="7"/>
        <v>0</v>
      </c>
      <c r="N27" s="40">
        <f ca="1">SUM(B27:OFFSET(N27,0,-1))</f>
        <v>2159999.9999999995</v>
      </c>
    </row>
    <row r="28" spans="2:14" ht="15">
      <c r="B28" s="24" t="s">
        <v>38</v>
      </c>
      <c r="C28" s="24" t="s">
        <v>38</v>
      </c>
      <c r="D28" s="24" t="s">
        <v>38</v>
      </c>
      <c r="E28" s="24" t="s">
        <v>38</v>
      </c>
      <c r="F28" s="24" t="s">
        <v>38</v>
      </c>
      <c r="G28" s="24" t="s">
        <v>38</v>
      </c>
      <c r="H28" s="24" t="s">
        <v>38</v>
      </c>
      <c r="I28" s="24" t="s">
        <v>38</v>
      </c>
      <c r="J28" s="24" t="s">
        <v>38</v>
      </c>
      <c r="K28" s="24" t="s">
        <v>38</v>
      </c>
      <c r="L28" s="24" t="s">
        <v>38</v>
      </c>
      <c r="M28" s="24" t="s">
        <v>38</v>
      </c>
      <c r="N28" s="24" t="s">
        <v>38</v>
      </c>
    </row>
    <row r="29" spans="1:14" ht="15">
      <c r="A29" t="s">
        <v>18</v>
      </c>
      <c r="B29" s="12">
        <f aca="true" t="shared" si="8" ref="B29:N29">SUM(B20:B28)</f>
        <v>33000</v>
      </c>
      <c r="C29" s="12">
        <f t="shared" si="8"/>
        <v>126150</v>
      </c>
      <c r="D29" s="12">
        <f t="shared" si="8"/>
        <v>332400</v>
      </c>
      <c r="E29" s="12">
        <f t="shared" si="8"/>
        <v>396150</v>
      </c>
      <c r="F29" s="12">
        <f t="shared" si="8"/>
        <v>553650</v>
      </c>
      <c r="G29" s="12">
        <f t="shared" si="8"/>
        <v>762900</v>
      </c>
      <c r="H29" s="12">
        <f t="shared" si="8"/>
        <v>870900</v>
      </c>
      <c r="I29" s="12">
        <f t="shared" si="8"/>
        <v>769650</v>
      </c>
      <c r="J29" s="12">
        <f t="shared" si="8"/>
        <v>810149.9999999999</v>
      </c>
      <c r="K29" s="12">
        <f t="shared" si="8"/>
        <v>522149.99999999994</v>
      </c>
      <c r="L29" s="12">
        <f t="shared" si="8"/>
        <v>249900.00000000017</v>
      </c>
      <c r="M29" s="12">
        <f t="shared" si="8"/>
        <v>33000</v>
      </c>
      <c r="N29" s="12">
        <f t="shared" si="8"/>
        <v>5460000</v>
      </c>
    </row>
    <row r="30" spans="2:14" ht="15">
      <c r="B30" s="24" t="s">
        <v>38</v>
      </c>
      <c r="C30" s="24" t="s">
        <v>38</v>
      </c>
      <c r="D30" s="24" t="s">
        <v>38</v>
      </c>
      <c r="E30" s="24" t="s">
        <v>38</v>
      </c>
      <c r="F30" s="24" t="s">
        <v>38</v>
      </c>
      <c r="G30" s="24" t="s">
        <v>38</v>
      </c>
      <c r="H30" s="24" t="s">
        <v>38</v>
      </c>
      <c r="I30" s="24" t="s">
        <v>38</v>
      </c>
      <c r="J30" s="24" t="s">
        <v>38</v>
      </c>
      <c r="K30" s="24" t="s">
        <v>38</v>
      </c>
      <c r="L30" s="24" t="s">
        <v>38</v>
      </c>
      <c r="M30" s="24" t="s">
        <v>38</v>
      </c>
      <c r="N30" s="24" t="s">
        <v>38</v>
      </c>
    </row>
    <row r="31" spans="1:14" ht="15">
      <c r="A31" t="s">
        <v>45</v>
      </c>
      <c r="B31" s="24">
        <f aca="true" t="shared" si="9" ref="B31:N31">B18-B29</f>
        <v>-33000</v>
      </c>
      <c r="C31" s="24">
        <f t="shared" si="9"/>
        <v>-126150</v>
      </c>
      <c r="D31" s="24">
        <f t="shared" si="9"/>
        <v>-332400</v>
      </c>
      <c r="E31" s="24">
        <f t="shared" si="9"/>
        <v>-274650</v>
      </c>
      <c r="F31" s="24">
        <f t="shared" si="9"/>
        <v>-29400</v>
      </c>
      <c r="G31" s="24">
        <f t="shared" si="9"/>
        <v>63600</v>
      </c>
      <c r="H31" s="24">
        <f t="shared" si="9"/>
        <v>165600</v>
      </c>
      <c r="I31" s="24">
        <f t="shared" si="9"/>
        <v>156600</v>
      </c>
      <c r="J31" s="24">
        <f t="shared" si="9"/>
        <v>240600.00000000012</v>
      </c>
      <c r="K31" s="24">
        <f t="shared" si="9"/>
        <v>147600.00000000006</v>
      </c>
      <c r="L31" s="24">
        <f t="shared" si="9"/>
        <v>63599.999999999825</v>
      </c>
      <c r="M31" s="24">
        <f t="shared" si="9"/>
        <v>258000</v>
      </c>
      <c r="N31" s="24">
        <f t="shared" si="9"/>
        <v>300000</v>
      </c>
    </row>
    <row r="32" spans="2:14" ht="15">
      <c r="B32" s="24" t="s">
        <v>38</v>
      </c>
      <c r="C32" s="24" t="s">
        <v>38</v>
      </c>
      <c r="D32" s="24" t="s">
        <v>38</v>
      </c>
      <c r="E32" s="24" t="s">
        <v>38</v>
      </c>
      <c r="F32" s="24" t="s">
        <v>38</v>
      </c>
      <c r="G32" s="24" t="s">
        <v>38</v>
      </c>
      <c r="H32" s="24" t="s">
        <v>38</v>
      </c>
      <c r="I32" s="24" t="s">
        <v>38</v>
      </c>
      <c r="J32" s="24" t="s">
        <v>38</v>
      </c>
      <c r="K32" s="24" t="s">
        <v>38</v>
      </c>
      <c r="L32" s="24" t="s">
        <v>38</v>
      </c>
      <c r="M32" s="24" t="s">
        <v>38</v>
      </c>
      <c r="N32" s="24" t="s">
        <v>38</v>
      </c>
    </row>
    <row r="33" spans="1:14" ht="15">
      <c r="A33" t="s">
        <v>19</v>
      </c>
      <c r="B33" s="12">
        <f aca="true" t="shared" si="10" ref="B33:N33">B10+B31</f>
        <v>-33000</v>
      </c>
      <c r="C33" s="12">
        <f t="shared" si="10"/>
        <v>-159150</v>
      </c>
      <c r="D33" s="12">
        <f t="shared" si="10"/>
        <v>-491550</v>
      </c>
      <c r="E33" s="12">
        <f t="shared" si="10"/>
        <v>-766200</v>
      </c>
      <c r="F33" s="12">
        <f t="shared" si="10"/>
        <v>-795600</v>
      </c>
      <c r="G33" s="12">
        <f t="shared" si="10"/>
        <v>-732000</v>
      </c>
      <c r="H33" s="12">
        <f t="shared" si="10"/>
        <v>-566400</v>
      </c>
      <c r="I33" s="12">
        <f t="shared" si="10"/>
        <v>-409800</v>
      </c>
      <c r="J33" s="12">
        <f t="shared" si="10"/>
        <v>-169199.99999999988</v>
      </c>
      <c r="K33" s="12">
        <f t="shared" si="10"/>
        <v>-21599.999999999825</v>
      </c>
      <c r="L33" s="12">
        <f t="shared" si="10"/>
        <v>42000</v>
      </c>
      <c r="M33" s="12">
        <f t="shared" si="10"/>
        <v>300000</v>
      </c>
      <c r="N33" s="12">
        <f t="shared" si="10"/>
        <v>300000</v>
      </c>
    </row>
    <row r="34" spans="1:14" ht="15">
      <c r="A34" t="s">
        <v>20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f ca="1">SUM(B34:OFFSET(N34,0,-1))</f>
        <v>0</v>
      </c>
    </row>
    <row r="35" spans="1:14" ht="15">
      <c r="A35" t="s">
        <v>85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>
        <f ca="1">SUM(B35:OFFSET(N35,0,-1))</f>
        <v>0</v>
      </c>
    </row>
    <row r="36" spans="2:14" ht="15">
      <c r="B36" s="24" t="s">
        <v>38</v>
      </c>
      <c r="C36" s="24" t="s">
        <v>38</v>
      </c>
      <c r="D36" s="24" t="s">
        <v>38</v>
      </c>
      <c r="E36" s="24" t="s">
        <v>38</v>
      </c>
      <c r="F36" s="24" t="s">
        <v>38</v>
      </c>
      <c r="G36" s="24" t="s">
        <v>38</v>
      </c>
      <c r="H36" s="24" t="s">
        <v>38</v>
      </c>
      <c r="I36" s="24" t="s">
        <v>38</v>
      </c>
      <c r="J36" s="24" t="s">
        <v>38</v>
      </c>
      <c r="K36" s="24" t="s">
        <v>38</v>
      </c>
      <c r="L36" s="24" t="s">
        <v>38</v>
      </c>
      <c r="M36" s="24" t="s">
        <v>38</v>
      </c>
      <c r="N36" s="24" t="s">
        <v>38</v>
      </c>
    </row>
    <row r="37" spans="1:14" ht="15">
      <c r="A37" t="s">
        <v>21</v>
      </c>
      <c r="B37" s="12">
        <f>SUM(B33:B36)</f>
        <v>-33000</v>
      </c>
      <c r="C37" s="12">
        <f aca="true" t="shared" si="11" ref="C37:N37">SUM(C33:C36)</f>
        <v>-159150</v>
      </c>
      <c r="D37" s="12">
        <f t="shared" si="11"/>
        <v>-491550</v>
      </c>
      <c r="E37" s="12">
        <f t="shared" si="11"/>
        <v>-766200</v>
      </c>
      <c r="F37" s="12">
        <f t="shared" si="11"/>
        <v>-795600</v>
      </c>
      <c r="G37" s="12">
        <f t="shared" si="11"/>
        <v>-732000</v>
      </c>
      <c r="H37" s="12">
        <f t="shared" si="11"/>
        <v>-566400</v>
      </c>
      <c r="I37" s="12">
        <f t="shared" si="11"/>
        <v>-409800</v>
      </c>
      <c r="J37" s="12">
        <f t="shared" si="11"/>
        <v>-169199.99999999988</v>
      </c>
      <c r="K37" s="12">
        <f t="shared" si="11"/>
        <v>-21599.999999999825</v>
      </c>
      <c r="L37" s="12">
        <f t="shared" si="11"/>
        <v>42000</v>
      </c>
      <c r="M37" s="12">
        <f t="shared" si="11"/>
        <v>300000</v>
      </c>
      <c r="N37" s="12">
        <f t="shared" si="11"/>
        <v>300000</v>
      </c>
    </row>
    <row r="39" ht="15">
      <c r="B39" s="12"/>
    </row>
    <row r="40" ht="15">
      <c r="B40" s="12"/>
    </row>
    <row r="41" ht="15">
      <c r="B41" s="12"/>
    </row>
    <row r="42" ht="15">
      <c r="B42" s="12"/>
    </row>
    <row r="43" ht="15">
      <c r="B43" s="12"/>
    </row>
    <row r="44" ht="15">
      <c r="B44" s="12"/>
    </row>
    <row r="45" ht="15">
      <c r="B45" s="12"/>
    </row>
    <row r="46" ht="15">
      <c r="B46" s="12"/>
    </row>
    <row r="47" ht="15">
      <c r="B47" s="12"/>
    </row>
    <row r="48" ht="15">
      <c r="B48" s="12"/>
    </row>
    <row r="49" ht="15">
      <c r="B49" s="12"/>
    </row>
    <row r="50" ht="15">
      <c r="B50" s="12"/>
    </row>
    <row r="51" ht="15">
      <c r="B51" s="12"/>
    </row>
    <row r="52" ht="15">
      <c r="B52" s="12"/>
    </row>
    <row r="53" ht="15">
      <c r="B53" s="12"/>
    </row>
    <row r="54" ht="15">
      <c r="B54" s="12"/>
    </row>
    <row r="55" ht="15">
      <c r="B55" s="12"/>
    </row>
    <row r="56" ht="15">
      <c r="B56" s="12"/>
    </row>
    <row r="57" ht="15">
      <c r="B57" s="12"/>
    </row>
    <row r="58" ht="15">
      <c r="B58" s="12"/>
    </row>
    <row r="59" ht="15">
      <c r="B59" s="12"/>
    </row>
    <row r="60" ht="15">
      <c r="B60" s="12"/>
    </row>
    <row r="61" ht="15">
      <c r="B61" s="12"/>
    </row>
    <row r="62" ht="15">
      <c r="B62" s="12"/>
    </row>
    <row r="63" ht="15">
      <c r="B63" s="12"/>
    </row>
    <row r="64" ht="15" hidden="1">
      <c r="B64" s="12"/>
    </row>
    <row r="65" ht="15" hidden="1">
      <c r="B65" s="12"/>
    </row>
    <row r="66" ht="15">
      <c r="B66" s="12"/>
    </row>
    <row r="67" ht="15">
      <c r="B67" s="12"/>
    </row>
    <row r="68" ht="15">
      <c r="B68" s="12"/>
    </row>
    <row r="69" ht="15">
      <c r="B69" s="12"/>
    </row>
    <row r="70" ht="15">
      <c r="B70" s="12"/>
    </row>
    <row r="72" spans="1:14" ht="15">
      <c r="A72" t="s">
        <v>93</v>
      </c>
      <c r="B72" s="12">
        <f>+B22</f>
        <v>0</v>
      </c>
      <c r="C72" s="12">
        <f aca="true" t="shared" si="12" ref="C72:M72">C22+B72</f>
        <v>78750</v>
      </c>
      <c r="D72" s="12">
        <f t="shared" si="12"/>
        <v>303750</v>
      </c>
      <c r="E72" s="12">
        <f t="shared" si="12"/>
        <v>652500</v>
      </c>
      <c r="F72" s="12">
        <f t="shared" si="12"/>
        <v>1158750</v>
      </c>
      <c r="G72" s="12">
        <f t="shared" si="12"/>
        <v>1676250</v>
      </c>
      <c r="H72" s="12">
        <f t="shared" si="12"/>
        <v>2103750</v>
      </c>
      <c r="I72" s="12">
        <f t="shared" si="12"/>
        <v>2430000</v>
      </c>
      <c r="J72" s="12">
        <f t="shared" si="12"/>
        <v>2598750</v>
      </c>
      <c r="K72" s="12">
        <f t="shared" si="12"/>
        <v>2677500</v>
      </c>
      <c r="L72" s="12">
        <f t="shared" si="12"/>
        <v>2700000</v>
      </c>
      <c r="M72" s="12">
        <f t="shared" si="12"/>
        <v>2700000</v>
      </c>
      <c r="N72" s="12"/>
    </row>
    <row r="73" spans="1:14" ht="15">
      <c r="A73" t="s">
        <v>92</v>
      </c>
      <c r="B73" s="63">
        <f>IF(B22&lt;Assumptions!$H$7,0,B22-Assumptions!$H$7)</f>
        <v>0</v>
      </c>
      <c r="C73" s="63">
        <f>IF(SUM($B$22:C22)&lt;Assumptions!$H$7,0,MIN(SUM($B$22:C22)-Assumptions!$H$7,C22))</f>
        <v>0</v>
      </c>
      <c r="D73" s="63">
        <f>IF(SUM($B$22:D22)&lt;Assumptions!$H$7,0,MIN(SUM($B$22:D22)-Assumptions!$H$7,D22))</f>
        <v>0</v>
      </c>
      <c r="E73" s="63">
        <f>IF(SUM($B$22:E22)&lt;Assumptions!$H$7,0,MIN(SUM($B$22:E22)-Assumptions!$H$7,E22))</f>
        <v>112500</v>
      </c>
      <c r="F73" s="63">
        <f>IF(SUM($B$22:F22)&lt;Assumptions!$H$7,0,MIN(SUM($B$22:F22)-Assumptions!$H$7,F22))</f>
        <v>506250</v>
      </c>
      <c r="G73" s="63">
        <f>IF(SUM($B$22:G22)&lt;Assumptions!$H$7,0,MIN(SUM($B$22:G22)-Assumptions!$H$7,G22))</f>
        <v>517500</v>
      </c>
      <c r="H73" s="63">
        <f>IF(SUM($B$22:H22)&lt;Assumptions!$H$7,0,MIN(SUM($B$22:H22)-Assumptions!$H$7,H22))</f>
        <v>427500</v>
      </c>
      <c r="I73" s="63">
        <f>IF(SUM($B$22:I22)&lt;Assumptions!$H$7,0,MIN(SUM($B$22:I22)-Assumptions!$H$7,I22))</f>
        <v>326250</v>
      </c>
      <c r="J73" s="63">
        <f>IF(SUM($B$22:J22)&lt;Assumptions!$H$7,0,MIN(SUM($B$22:J22)-Assumptions!$H$7,J22))</f>
        <v>168750</v>
      </c>
      <c r="K73" s="63">
        <f>IF(SUM($B$22:K22)&lt;Assumptions!$H$7,0,MIN(SUM($B$22:K22)-Assumptions!$H$7,K22))</f>
        <v>78750</v>
      </c>
      <c r="L73" s="63">
        <f>IF(SUM($B$22:L22)&lt;Assumptions!$H$7,0,MIN(SUM($B$22:L22)-Assumptions!$H$7,L22))</f>
        <v>22500</v>
      </c>
      <c r="M73" s="63">
        <f>IF(SUM($B$22:M22)&lt;Assumptions!$H$7,0,MIN(SUM($B$22:M22)-Assumptions!$H$7,M22))</f>
        <v>0</v>
      </c>
      <c r="N73" s="12">
        <f ca="1">SUM(B73:OFFSET(N73,0,-1))</f>
        <v>2160000</v>
      </c>
    </row>
    <row r="74" spans="1:14" ht="15">
      <c r="A74" t="s">
        <v>95</v>
      </c>
      <c r="B74" s="64">
        <f>MIN(B8*Assumptions!$H$9,B73)</f>
        <v>0</v>
      </c>
      <c r="C74" s="64">
        <f>MIN(C8*Assumptions!$H$9,+B76+C73)</f>
        <v>0</v>
      </c>
      <c r="D74" s="64">
        <f>MIN(D8*Assumptions!$H$9,+C76+D73)</f>
        <v>0</v>
      </c>
      <c r="E74" s="64">
        <f>MIN(E8*Assumptions!$H$9,+D76+E73)</f>
        <v>0</v>
      </c>
      <c r="F74" s="64">
        <f>MIN(F8*Assumptions!$H$9,+E76+F73)</f>
        <v>0</v>
      </c>
      <c r="G74" s="64">
        <f>MIN(G8*Assumptions!$H$9,+F76+G73)</f>
        <v>197999.99999999997</v>
      </c>
      <c r="H74" s="64">
        <f>MIN(H8*Assumptions!$H$9,+G76+H73)</f>
        <v>395999.99999999994</v>
      </c>
      <c r="I74" s="64">
        <f>MIN(I8*Assumptions!$H$9,+H76+I73)</f>
        <v>395999.99999999994</v>
      </c>
      <c r="J74" s="64">
        <f>MIN(J8*Assumptions!$H$9,+I76+J73)</f>
        <v>593999.9999999999</v>
      </c>
      <c r="K74" s="64">
        <f>MIN(K8*Assumptions!$H$9,+J76+K73)</f>
        <v>395999.99999999994</v>
      </c>
      <c r="L74" s="64">
        <f>MIN(L8*Assumptions!$H$9,+K76+L73)</f>
        <v>180000.00000000017</v>
      </c>
      <c r="M74" s="64">
        <f>MIN(M8*Assumptions!$H$9,+L76+M73)</f>
        <v>0</v>
      </c>
      <c r="N74" s="12">
        <f ca="1">SUM(B74:OFFSET(N74,0,-1))</f>
        <v>2159999.9999999995</v>
      </c>
    </row>
    <row r="75" spans="2:14" ht="15">
      <c r="B75" s="24" t="s">
        <v>38</v>
      </c>
      <c r="C75" s="24" t="s">
        <v>38</v>
      </c>
      <c r="D75" s="24" t="s">
        <v>38</v>
      </c>
      <c r="E75" s="24" t="s">
        <v>38</v>
      </c>
      <c r="F75" s="24" t="s">
        <v>38</v>
      </c>
      <c r="G75" s="24" t="s">
        <v>38</v>
      </c>
      <c r="H75" s="24" t="s">
        <v>38</v>
      </c>
      <c r="I75" s="24" t="s">
        <v>38</v>
      </c>
      <c r="J75" s="24" t="s">
        <v>38</v>
      </c>
      <c r="K75" s="24" t="s">
        <v>38</v>
      </c>
      <c r="L75" s="24" t="s">
        <v>38</v>
      </c>
      <c r="M75" s="24" t="s">
        <v>38</v>
      </c>
      <c r="N75" s="24" t="s">
        <v>38</v>
      </c>
    </row>
    <row r="76" spans="1:14" ht="15">
      <c r="A76" t="s">
        <v>94</v>
      </c>
      <c r="B76" s="12">
        <f>+B73-B74</f>
        <v>0</v>
      </c>
      <c r="C76" s="12">
        <f>+B76+C73-C74</f>
        <v>0</v>
      </c>
      <c r="D76" s="12">
        <f aca="true" t="shared" si="13" ref="D76:M76">+C76+D73-D74</f>
        <v>0</v>
      </c>
      <c r="E76" s="12">
        <f t="shared" si="13"/>
        <v>112500</v>
      </c>
      <c r="F76" s="12">
        <f t="shared" si="13"/>
        <v>618750</v>
      </c>
      <c r="G76" s="12">
        <f t="shared" si="13"/>
        <v>938250</v>
      </c>
      <c r="H76" s="12">
        <f t="shared" si="13"/>
        <v>969750</v>
      </c>
      <c r="I76" s="12">
        <f t="shared" si="13"/>
        <v>900000</v>
      </c>
      <c r="J76" s="12">
        <f t="shared" si="13"/>
        <v>474750.0000000001</v>
      </c>
      <c r="K76" s="12">
        <f t="shared" si="13"/>
        <v>157500.00000000017</v>
      </c>
      <c r="L76" s="12">
        <f t="shared" si="13"/>
        <v>0</v>
      </c>
      <c r="M76" s="12">
        <f t="shared" si="13"/>
        <v>0</v>
      </c>
      <c r="N76" s="12">
        <f ca="1">SUM(B76:OFFSET(N76,0,-1))</f>
        <v>4171500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12" r:id="rId1"/>
  <headerFoot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A1" sqref="A1:IV65536"/>
    </sheetView>
  </sheetViews>
  <sheetFormatPr defaultColWidth="9.140625" defaultRowHeight="15"/>
  <cols>
    <col min="1" max="1" width="15.7109375" style="0" customWidth="1"/>
    <col min="2" max="4" width="10.7109375" style="0" customWidth="1"/>
    <col min="5" max="5" width="4.7109375" style="0" customWidth="1"/>
    <col min="6" max="6" width="15.7109375" style="0" customWidth="1"/>
    <col min="7" max="9" width="10.7109375" style="0" customWidth="1"/>
  </cols>
  <sheetData>
    <row r="1" spans="1:9" ht="23.25">
      <c r="A1" s="20" t="str">
        <f>+Assumptions!A1</f>
        <v>Sample Company</v>
      </c>
      <c r="B1" s="20"/>
      <c r="C1" s="20"/>
      <c r="D1" s="20"/>
      <c r="E1" s="20"/>
      <c r="F1" s="20"/>
      <c r="G1" s="20"/>
      <c r="H1" s="20"/>
      <c r="I1" s="20"/>
    </row>
    <row r="2" spans="1:9" ht="23.25">
      <c r="A2" s="20" t="str">
        <f>+Assumptions!B4</f>
        <v>12 Units</v>
      </c>
      <c r="B2" s="20"/>
      <c r="C2" s="20"/>
      <c r="D2" s="20"/>
      <c r="E2" s="20"/>
      <c r="F2" s="20"/>
      <c r="G2" s="20"/>
      <c r="H2" s="20"/>
      <c r="I2" s="20"/>
    </row>
    <row r="3" spans="1:9" ht="23.25">
      <c r="A3" s="20"/>
      <c r="B3" s="20"/>
      <c r="C3" s="20"/>
      <c r="D3" s="20"/>
      <c r="E3" s="20"/>
      <c r="F3" s="20"/>
      <c r="G3" s="20"/>
      <c r="H3" s="20"/>
      <c r="I3" s="20"/>
    </row>
    <row r="4" spans="1:9" ht="14.25">
      <c r="A4" s="6"/>
      <c r="B4" s="7"/>
      <c r="C4" s="7" t="s">
        <v>26</v>
      </c>
      <c r="D4" s="7" t="s">
        <v>27</v>
      </c>
      <c r="H4" s="7" t="s">
        <v>28</v>
      </c>
      <c r="I4" s="7" t="s">
        <v>29</v>
      </c>
    </row>
    <row r="5" spans="1:9" ht="14.25">
      <c r="A5" s="8" t="s">
        <v>30</v>
      </c>
      <c r="B5" s="7" t="s">
        <v>31</v>
      </c>
      <c r="C5" s="7" t="s">
        <v>32</v>
      </c>
      <c r="D5" s="7" t="s">
        <v>33</v>
      </c>
      <c r="F5" t="str">
        <f>+A5</f>
        <v>Unit Description</v>
      </c>
      <c r="G5" s="7" t="s">
        <v>31</v>
      </c>
      <c r="H5" s="7" t="s">
        <v>41</v>
      </c>
      <c r="I5" s="7" t="s">
        <v>34</v>
      </c>
    </row>
    <row r="6" spans="1:9" ht="14.25">
      <c r="A6" s="22" t="s">
        <v>35</v>
      </c>
      <c r="B6" s="21">
        <v>4</v>
      </c>
      <c r="C6" s="13">
        <v>250000</v>
      </c>
      <c r="D6" s="14">
        <f>+B6*C6</f>
        <v>1000000</v>
      </c>
      <c r="E6" s="15"/>
      <c r="F6" s="23" t="str">
        <f>+A6</f>
        <v>Model A</v>
      </c>
      <c r="G6" s="14">
        <f>+B6</f>
        <v>4</v>
      </c>
      <c r="H6" s="13">
        <v>187500</v>
      </c>
      <c r="I6" s="13">
        <f>+H6*B6</f>
        <v>750000</v>
      </c>
    </row>
    <row r="7" spans="1:9" ht="14.25">
      <c r="A7" s="22" t="s">
        <v>36</v>
      </c>
      <c r="B7" s="21">
        <v>4</v>
      </c>
      <c r="C7" s="13">
        <v>300000</v>
      </c>
      <c r="D7" s="14">
        <f>+B7*C7</f>
        <v>1200000</v>
      </c>
      <c r="E7" s="15"/>
      <c r="F7" s="23" t="str">
        <f>+A7</f>
        <v>Model B</v>
      </c>
      <c r="G7" s="14">
        <f>+B7</f>
        <v>4</v>
      </c>
      <c r="H7" s="13">
        <v>225000</v>
      </c>
      <c r="I7" s="13">
        <f>+H7*B7</f>
        <v>900000</v>
      </c>
    </row>
    <row r="8" spans="1:9" ht="14.25">
      <c r="A8" s="22" t="s">
        <v>37</v>
      </c>
      <c r="B8" s="21">
        <v>4</v>
      </c>
      <c r="C8" s="13">
        <v>350000</v>
      </c>
      <c r="D8" s="14">
        <f>+B8*C8</f>
        <v>1400000</v>
      </c>
      <c r="E8" s="15"/>
      <c r="F8" s="23" t="str">
        <f>+A8</f>
        <v>Model C</v>
      </c>
      <c r="G8" s="14">
        <f>+B8</f>
        <v>4</v>
      </c>
      <c r="H8" s="13">
        <v>262500</v>
      </c>
      <c r="I8" s="13">
        <f>+H8*B8</f>
        <v>1050000</v>
      </c>
    </row>
    <row r="9" spans="1:9" ht="14.25">
      <c r="A9" s="6"/>
      <c r="B9" s="9" t="s">
        <v>38</v>
      </c>
      <c r="C9" s="9"/>
      <c r="D9" s="9" t="s">
        <v>38</v>
      </c>
      <c r="G9" s="9" t="s">
        <v>38</v>
      </c>
      <c r="H9" s="9"/>
      <c r="I9" s="9" t="s">
        <v>38</v>
      </c>
    </row>
    <row r="10" spans="1:9" ht="14.25">
      <c r="A10" s="8" t="s">
        <v>27</v>
      </c>
      <c r="B10" s="10">
        <f>SUM(B6:B9)</f>
        <v>12</v>
      </c>
      <c r="C10" s="10"/>
      <c r="D10" s="10">
        <f>SUM(D6:D9)</f>
        <v>3600000</v>
      </c>
      <c r="F10" t="str">
        <f>+A10</f>
        <v>Total</v>
      </c>
      <c r="G10" s="10">
        <f>SUM(G6:G9)</f>
        <v>12</v>
      </c>
      <c r="H10" s="10"/>
      <c r="I10" s="10">
        <f>SUM(I6:I9)</f>
        <v>2700000</v>
      </c>
    </row>
    <row r="11" spans="1:9" ht="14.25">
      <c r="A11" s="8" t="s">
        <v>39</v>
      </c>
      <c r="B11" s="10"/>
      <c r="C11" s="10"/>
      <c r="D11" s="10">
        <f>+D10/B10</f>
        <v>300000</v>
      </c>
      <c r="F11" t="str">
        <f>+A11</f>
        <v>Avg.</v>
      </c>
      <c r="H11" s="11"/>
      <c r="I11" s="10">
        <f>I10/B10</f>
        <v>225000</v>
      </c>
    </row>
    <row r="12" spans="6:9" ht="14.25">
      <c r="F12" s="8" t="s">
        <v>40</v>
      </c>
      <c r="I12" s="12">
        <f>D11-I11</f>
        <v>75000</v>
      </c>
    </row>
  </sheetData>
  <sheetProtection/>
  <printOptions/>
  <pageMargins left="0.7" right="0.7" top="0.75" bottom="0.75" header="0.3" footer="0.3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jkprager</dc:creator>
  <cp:keywords/>
  <dc:description/>
  <cp:lastModifiedBy>Bragg, Lay</cp:lastModifiedBy>
  <dcterms:created xsi:type="dcterms:W3CDTF">2014-03-04T22:50:52Z</dcterms:created>
  <dcterms:modified xsi:type="dcterms:W3CDTF">2014-12-29T16:00:33Z</dcterms:modified>
  <cp:category/>
  <cp:version/>
  <cp:contentType/>
  <cp:contentStatus/>
</cp:coreProperties>
</file>