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480" yWindow="525" windowWidth="18660" windowHeight="11955"/>
  </bookViews>
  <sheets>
    <sheet name="Flatwork" sheetId="5" r:id="rId1"/>
    <sheet name="Flatwork (Completed)" sheetId="4" r:id="rId2"/>
    <sheet name="Sales Tax" sheetId="2" r:id="rId3"/>
    <sheet name="Footing" sheetId="3" r:id="rId4"/>
    <sheet name="FootingDB" sheetId="6" r:id="rId5"/>
    <sheet name="PermitConnectionFees" sheetId="10" r:id="rId6"/>
    <sheet name="ValuationandFeeDB" sheetId="8" r:id="rId7"/>
    <sheet name="PermitCodeDB" sheetId="7" r:id="rId8"/>
  </sheets>
  <definedNames>
    <definedName name="Cities">ValuationandFeeDB!$C$2:$H$2</definedName>
    <definedName name="City">PermitConnectionFees!$E$2</definedName>
    <definedName name="ConcreteDB" localSheetId="1">'Flatwork (Completed)'!$B$31:$F$38</definedName>
    <definedName name="ConcreteDB">FootingDB!$B$29:$F$36</definedName>
    <definedName name="ConcreteMatSuppliers" localSheetId="1">'Flatwork (Completed)'!$D$30:$F$30</definedName>
    <definedName name="ConnectionDB">ValuationandFeeDB!$B$22:$H$51</definedName>
    <definedName name="ConnectionList">ValuationandFeeDB!$B$22:$B$51</definedName>
    <definedName name="FlatworkConcreteSupplier">'Flatwork (Completed)'!$K$4</definedName>
    <definedName name="FlatworkConcreteWaste">'Flatwork (Completed)'!$I$4</definedName>
    <definedName name="FlatworkLaborDB">'Flatwork (Completed)'!$B$16:$I$26</definedName>
    <definedName name="FlatworkLaborList">'Flatwork (Completed)'!$B$16:$B$26</definedName>
    <definedName name="FlatworkLaborTrade">'Flatwork (Completed)'!$G$4</definedName>
    <definedName name="FlatworkLaborTrades">'Flatwork (Completed)'!$G$15:$I$15</definedName>
    <definedName name="FootingList">FootingDB!$B$3:$B$14</definedName>
    <definedName name="FtgDB">FootingDB!$B$3:$I$14</definedName>
    <definedName name="FTGRebarMiscDB">FootingDB!$B$18:$E$25</definedName>
    <definedName name="FTGRebarMiscList">FootingDB!$B$18:$B$25</definedName>
    <definedName name="JBarSpacing">Footing!$C$4</definedName>
    <definedName name="LFBar">Footing!$C$13</definedName>
    <definedName name="Num_of_bars">Footing!$C$3</definedName>
    <definedName name="PermitDataDB">ValuationandFeeDB!$B$16:$H$18</definedName>
    <definedName name="PermitFee">PermitCodeDB!$H$12</definedName>
    <definedName name="PSIList" localSheetId="1">'Flatwork (Completed)'!$B$31:$B$38</definedName>
    <definedName name="Sales_Tax">'Sales Tax'!$C$1</definedName>
    <definedName name="TotalValuation">PermitConnectionFees!$F$13</definedName>
    <definedName name="TotConnectFees">PermitConnectionFees!$C$54</definedName>
    <definedName name="TotCY">Footing!$E$13</definedName>
    <definedName name="ValuationDB">ValuationandFeeDB!$B$4:$H$12</definedName>
    <definedName name="ValuationList">ValuationandFeeDB!$B$4:$B$12</definedName>
    <definedName name="Waste">Footing!$C$5</definedName>
    <definedName name="WaterConnectionDB">ValuationandFeeDB!$B$54:$H$57</definedName>
    <definedName name="WaterLineSize">PermitConnectionFees!$E$31</definedName>
    <definedName name="WaterLineSizeCheck">ValuationandFeeDB!$I$28</definedName>
    <definedName name="WaterLineSizes">ValuationandFeeDB!$B$54:$B$57</definedName>
  </definedNames>
  <calcPr calcId="125725" iterate="1"/>
</workbook>
</file>

<file path=xl/calcChain.xml><?xml version="1.0" encoding="utf-8"?>
<calcChain xmlns="http://schemas.openxmlformats.org/spreadsheetml/2006/main">
  <c r="G7" i="4"/>
  <c r="G8"/>
  <c r="G9"/>
  <c r="G6"/>
  <c r="C17" i="10"/>
  <c r="E28" i="8"/>
  <c r="H9" i="7"/>
  <c r="E5" i="10"/>
  <c r="E6"/>
  <c r="E7"/>
  <c r="E8"/>
  <c r="E9"/>
  <c r="E10"/>
  <c r="E11"/>
  <c r="E4"/>
  <c r="F4" s="1"/>
  <c r="C26"/>
  <c r="C27"/>
  <c r="C28"/>
  <c r="C29"/>
  <c r="C30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25"/>
  <c r="H28" i="8"/>
  <c r="G28"/>
  <c r="F28"/>
  <c r="C31" i="10" s="1"/>
  <c r="C24"/>
  <c r="E17"/>
  <c r="E18"/>
  <c r="F6"/>
  <c r="F7"/>
  <c r="F8"/>
  <c r="F9"/>
  <c r="F10"/>
  <c r="F11"/>
  <c r="F5"/>
  <c r="F13" l="1"/>
  <c r="F17" s="1"/>
  <c r="I28" i="8"/>
  <c r="D20"/>
  <c r="D21"/>
  <c r="G51"/>
  <c r="H51"/>
  <c r="D51"/>
  <c r="H9" i="3"/>
  <c r="H4" i="6"/>
  <c r="H5"/>
  <c r="H6"/>
  <c r="H7"/>
  <c r="H8"/>
  <c r="H9"/>
  <c r="H10"/>
  <c r="H11"/>
  <c r="H12"/>
  <c r="H13"/>
  <c r="H10" i="3"/>
  <c r="F9"/>
  <c r="E18"/>
  <c r="E17"/>
  <c r="D18"/>
  <c r="D17"/>
  <c r="D9"/>
  <c r="C20" i="6"/>
  <c r="C21"/>
  <c r="C19"/>
  <c r="C18" i="3" s="1"/>
  <c r="C18" i="6"/>
  <c r="C17" i="3" s="1"/>
  <c r="F17" s="1"/>
  <c r="E10"/>
  <c r="D10"/>
  <c r="E9"/>
  <c r="F10"/>
  <c r="C13"/>
  <c r="F7" i="4"/>
  <c r="H7"/>
  <c r="J7"/>
  <c r="K7" s="1"/>
  <c r="F8"/>
  <c r="H8"/>
  <c r="J8"/>
  <c r="K8" s="1"/>
  <c r="C7"/>
  <c r="I7" s="1"/>
  <c r="C8"/>
  <c r="I8" s="1"/>
  <c r="L8" s="1"/>
  <c r="H9"/>
  <c r="F9"/>
  <c r="F6"/>
  <c r="C6"/>
  <c r="I6" s="1"/>
  <c r="F51" i="8" l="1"/>
  <c r="E51"/>
  <c r="C54" i="10"/>
  <c r="E19" s="1"/>
  <c r="F19" s="1"/>
  <c r="L7" i="4"/>
  <c r="F18" i="3"/>
  <c r="H5" i="7"/>
  <c r="H7"/>
  <c r="H11"/>
  <c r="C13"/>
  <c r="H6"/>
  <c r="H8"/>
  <c r="H10"/>
  <c r="H4"/>
  <c r="F20" i="3"/>
  <c r="G10"/>
  <c r="I10" s="1"/>
  <c r="G9"/>
  <c r="E13"/>
  <c r="H6" i="4"/>
  <c r="H10" s="1"/>
  <c r="F25" i="5"/>
  <c r="F24"/>
  <c r="F23"/>
  <c r="F22"/>
  <c r="F21"/>
  <c r="F20"/>
  <c r="F19"/>
  <c r="F18"/>
  <c r="F17"/>
  <c r="F16"/>
  <c r="K9" i="4"/>
  <c r="C9"/>
  <c r="I9" s="1"/>
  <c r="I10" s="1"/>
  <c r="J6"/>
  <c r="K6" s="1"/>
  <c r="L6" s="1"/>
  <c r="J9"/>
  <c r="F25"/>
  <c r="F24"/>
  <c r="F23"/>
  <c r="F22"/>
  <c r="F21"/>
  <c r="F20"/>
  <c r="F19"/>
  <c r="F18"/>
  <c r="F17"/>
  <c r="F16"/>
  <c r="L9" l="1"/>
  <c r="L10" s="1"/>
  <c r="H12" i="7"/>
  <c r="I9" i="3"/>
  <c r="I13" s="1"/>
  <c r="G12"/>
  <c r="G13" s="1"/>
  <c r="C18" i="10" l="1"/>
  <c r="F18" s="1"/>
  <c r="E16"/>
  <c r="F16" s="1"/>
  <c r="I3" i="3"/>
  <c r="L11" i="4"/>
  <c r="L12" s="1"/>
  <c r="F21" i="10" l="1"/>
</calcChain>
</file>

<file path=xl/comments1.xml><?xml version="1.0" encoding="utf-8"?>
<comments xmlns="http://schemas.openxmlformats.org/spreadsheetml/2006/main">
  <authors>
    <author>l</author>
  </authors>
  <commentList>
    <comment ref="B31" authorId="0">
      <text>
        <r>
          <rPr>
            <b/>
            <sz val="8"/>
            <color indexed="81"/>
            <rFont val="Tahoma"/>
            <family val="2"/>
          </rPr>
          <t>5 Bag Mix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5.5 Bag Mix with air</t>
        </r>
      </text>
    </comment>
    <comment ref="B33" authorId="0">
      <text>
        <r>
          <rPr>
            <b/>
            <sz val="8"/>
            <color indexed="81"/>
            <rFont val="Tahoma"/>
            <family val="2"/>
          </rPr>
          <t>5.5 Bag Mix no air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6 Bag Mix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6.5 Bag Mix</t>
        </r>
      </text>
    </comment>
    <comment ref="B36" authorId="0">
      <text>
        <r>
          <rPr>
            <b/>
            <sz val="8"/>
            <color indexed="81"/>
            <rFont val="Tahoma"/>
            <family val="2"/>
          </rPr>
          <t>7.5 Bag Mix</t>
        </r>
      </text>
    </comment>
  </commentList>
</comments>
</file>

<file path=xl/comments2.xml><?xml version="1.0" encoding="utf-8"?>
<comments xmlns="http://schemas.openxmlformats.org/spreadsheetml/2006/main">
  <authors>
    <author>l</author>
  </authors>
  <commentList>
    <comment ref="B31" authorId="0">
      <text>
        <r>
          <rPr>
            <b/>
            <sz val="8"/>
            <color indexed="81"/>
            <rFont val="Tahoma"/>
            <family val="2"/>
          </rPr>
          <t>5 Bag Mix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5.5 Bag Mix with air</t>
        </r>
      </text>
    </comment>
    <comment ref="B33" authorId="0">
      <text>
        <r>
          <rPr>
            <b/>
            <sz val="8"/>
            <color indexed="81"/>
            <rFont val="Tahoma"/>
            <family val="2"/>
          </rPr>
          <t>5.5 Bag Mix no air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6 Bag Mix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6.5 Bag Mix</t>
        </r>
      </text>
    </comment>
    <comment ref="B36" authorId="0">
      <text>
        <r>
          <rPr>
            <b/>
            <sz val="8"/>
            <color indexed="81"/>
            <rFont val="Tahoma"/>
            <family val="2"/>
          </rPr>
          <t>7.5 Bag Mix</t>
        </r>
      </text>
    </comment>
  </commentList>
</comments>
</file>

<file path=xl/comments3.xml><?xml version="1.0" encoding="utf-8"?>
<comments xmlns="http://schemas.openxmlformats.org/spreadsheetml/2006/main">
  <authors>
    <author>l</author>
  </authors>
  <commentList>
    <comment ref="B29" authorId="0">
      <text>
        <r>
          <rPr>
            <b/>
            <sz val="8"/>
            <color indexed="81"/>
            <rFont val="Tahoma"/>
            <family val="2"/>
          </rPr>
          <t>5 Bag Mix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>5.5 Bag Mix with air</t>
        </r>
      </text>
    </comment>
    <comment ref="B31" authorId="0">
      <text>
        <r>
          <rPr>
            <b/>
            <sz val="8"/>
            <color indexed="81"/>
            <rFont val="Tahoma"/>
            <family val="2"/>
          </rPr>
          <t>5.5 Bag Mix no air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6 Bag Mix</t>
        </r>
      </text>
    </comment>
    <comment ref="B33" authorId="0">
      <text>
        <r>
          <rPr>
            <b/>
            <sz val="8"/>
            <color indexed="81"/>
            <rFont val="Tahoma"/>
            <family val="2"/>
          </rPr>
          <t>6.5 Bag Mix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7.5 Bag Mix</t>
        </r>
      </text>
    </comment>
  </commentList>
</comments>
</file>

<file path=xl/comments4.xml><?xml version="1.0" encoding="utf-8"?>
<comments xmlns="http://schemas.openxmlformats.org/spreadsheetml/2006/main">
  <authors>
    <author>Jay Christofferson</author>
  </authors>
  <commentList>
    <comment ref="E33" authorId="0">
      <text>
        <r>
          <rPr>
            <b/>
            <sz val="11"/>
            <color indexed="81"/>
            <rFont val="Tahoma"/>
            <family val="2"/>
          </rPr>
          <t>Meadow Brook subdivision is exempt from this fee</t>
        </r>
      </text>
    </comment>
  </commentList>
</comments>
</file>

<file path=xl/sharedStrings.xml><?xml version="1.0" encoding="utf-8"?>
<sst xmlns="http://schemas.openxmlformats.org/spreadsheetml/2006/main" count="394" uniqueCount="168">
  <si>
    <t>Flatwork Detail</t>
  </si>
  <si>
    <t>Flatwork</t>
  </si>
  <si>
    <t>Description</t>
  </si>
  <si>
    <t>Thick in.</t>
  </si>
  <si>
    <t>Width ft.</t>
  </si>
  <si>
    <t>Length ft.</t>
  </si>
  <si>
    <t>SF</t>
  </si>
  <si>
    <t>Labor $/SF</t>
  </si>
  <si>
    <t>CY</t>
  </si>
  <si>
    <t>$/CY</t>
  </si>
  <si>
    <t>Labor Sub-Total</t>
  </si>
  <si>
    <t>Material Sub-Total</t>
  </si>
  <si>
    <t>End</t>
  </si>
  <si>
    <t>SubTotals:</t>
  </si>
  <si>
    <t/>
  </si>
  <si>
    <t xml:space="preserve">Sales Tax:       </t>
  </si>
  <si>
    <t xml:space="preserve">Total Material and Labor: </t>
  </si>
  <si>
    <t>Unit</t>
  </si>
  <si>
    <t>Concrete Database</t>
  </si>
  <si>
    <t>PSI</t>
  </si>
  <si>
    <t>Road Base</t>
  </si>
  <si>
    <t>Thickness"</t>
  </si>
  <si>
    <t>Supplier 1</t>
  </si>
  <si>
    <t>Supplier 2</t>
  </si>
  <si>
    <t>Supplier 3</t>
  </si>
  <si>
    <t>Basement Slab</t>
  </si>
  <si>
    <t>Slab on Grade</t>
  </si>
  <si>
    <t>Porch Cap</t>
  </si>
  <si>
    <t>Garage Slab</t>
  </si>
  <si>
    <t>Driveway</t>
  </si>
  <si>
    <t>Drive Approach Apron</t>
  </si>
  <si>
    <t>Patio</t>
  </si>
  <si>
    <t>Sidewalk Labor</t>
  </si>
  <si>
    <t>Sidewalk Base</t>
  </si>
  <si>
    <t>Theater Slab</t>
  </si>
  <si>
    <t>PSI Concrete</t>
  </si>
  <si>
    <t>Flatwork Labor Database</t>
  </si>
  <si>
    <t>Waste</t>
  </si>
  <si>
    <t>Supplier</t>
  </si>
  <si>
    <t>Sales Tax</t>
  </si>
  <si>
    <t>LF</t>
  </si>
  <si>
    <t>QTY</t>
  </si>
  <si>
    <t>Width "</t>
  </si>
  <si>
    <t>Thick   "</t>
  </si>
  <si>
    <t>Ribbon Footings----------------</t>
  </si>
  <si>
    <t>16 x 8 Footing</t>
  </si>
  <si>
    <t>1</t>
  </si>
  <si>
    <t>18 x 8 Footing</t>
  </si>
  <si>
    <t>18 x 10 Footing</t>
  </si>
  <si>
    <t>20 x 8 Footing</t>
  </si>
  <si>
    <t>20 x 10 Footing</t>
  </si>
  <si>
    <t>20 x 12 Footing</t>
  </si>
  <si>
    <t>24 x 10 Footing</t>
  </si>
  <si>
    <t>24 x 12 Footing</t>
  </si>
  <si>
    <t>30 x 12 Footing</t>
  </si>
  <si>
    <t>30 x 16 Footing</t>
  </si>
  <si>
    <t xml:space="preserve">QTY Horizontal Bars in FTG: </t>
  </si>
  <si>
    <t xml:space="preserve">J-Bar Spacing in FTG (in.) : </t>
  </si>
  <si>
    <t xml:space="preserve">Footings Waste Factor: </t>
  </si>
  <si>
    <t>Footing Take-offs</t>
  </si>
  <si>
    <t>$/Unit</t>
  </si>
  <si>
    <t>Sub-Total $</t>
  </si>
  <si>
    <t>Labor Total $</t>
  </si>
  <si>
    <t>Labor $/Unit</t>
  </si>
  <si>
    <t>Tot CY</t>
  </si>
  <si>
    <t>Concrete $/Unit</t>
  </si>
  <si>
    <t>Concrete Total $</t>
  </si>
  <si>
    <t xml:space="preserve">Rebar &amp; Misc. </t>
  </si>
  <si>
    <t>20'</t>
  </si>
  <si>
    <t>EA</t>
  </si>
  <si>
    <t>30'' J-Bar</t>
  </si>
  <si>
    <t>Tot LF Rebar</t>
  </si>
  <si>
    <t>Total</t>
  </si>
  <si>
    <t>Labor</t>
  </si>
  <si>
    <t>Lab. Tot</t>
  </si>
  <si>
    <t>Conc. Tot</t>
  </si>
  <si>
    <t>Footing Database</t>
  </si>
  <si>
    <t>Step-up</t>
  </si>
  <si>
    <t>Blockout</t>
  </si>
  <si>
    <t>Bulkhead</t>
  </si>
  <si>
    <t>48'' J-Bar</t>
  </si>
  <si>
    <t>4'-6'' J-Bar</t>
  </si>
  <si>
    <t>Ftg Concrete &amp; Labor</t>
  </si>
  <si>
    <t xml:space="preserve">Total </t>
  </si>
  <si>
    <t>Rebar &amp; Misc DB</t>
  </si>
  <si>
    <t>Code Database             UBC - 1997</t>
  </si>
  <si>
    <t>For Property Improvement Valuation From:</t>
  </si>
  <si>
    <t>To:</t>
  </si>
  <si>
    <t>Base Fee</t>
  </si>
  <si>
    <t>For the 1st</t>
  </si>
  <si>
    <t>Plus an additional</t>
  </si>
  <si>
    <t>For Each __ Above Base Fee</t>
  </si>
  <si>
    <t>Price / Per SF</t>
  </si>
  <si>
    <t>Qty</t>
  </si>
  <si>
    <t>Main Floor SF</t>
  </si>
  <si>
    <t>2nd Floor SF</t>
  </si>
  <si>
    <t>3rd Floor SF</t>
  </si>
  <si>
    <t>Finished Basement SF</t>
  </si>
  <si>
    <t>Unfinished Basement SF</t>
  </si>
  <si>
    <t>Garage SF</t>
  </si>
  <si>
    <t>Covered Porch SF</t>
  </si>
  <si>
    <t>Plan Check</t>
  </si>
  <si>
    <t>State Tax</t>
  </si>
  <si>
    <t>Connection Fees</t>
  </si>
  <si>
    <t>Valuation Data</t>
  </si>
  <si>
    <t>Building Standards - 2008</t>
  </si>
  <si>
    <t>Your City</t>
  </si>
  <si>
    <t>Phone Number:</t>
  </si>
  <si>
    <t>Deck</t>
  </si>
  <si>
    <t>Fee Data</t>
  </si>
  <si>
    <t>Phone</t>
  </si>
  <si>
    <t>Sewer Connection</t>
  </si>
  <si>
    <t>Sewer Impact</t>
  </si>
  <si>
    <t>Storm Water</t>
  </si>
  <si>
    <t>Pressurized Irrigation 1"</t>
  </si>
  <si>
    <t>Construction Water</t>
  </si>
  <si>
    <t>Water Impact</t>
  </si>
  <si>
    <t>Meter Set Only</t>
  </si>
  <si>
    <t>Electrical Connection (Meter Hookup)</t>
  </si>
  <si>
    <t>Electrical Impact</t>
  </si>
  <si>
    <t>Parks &amp; Recreation Impact</t>
  </si>
  <si>
    <t>Police &amp; Safety</t>
  </si>
  <si>
    <t>Bonds (refundable)</t>
  </si>
  <si>
    <t>Temporary Power</t>
  </si>
  <si>
    <t>Construction Water Use</t>
  </si>
  <si>
    <t>Permit Fee</t>
  </si>
  <si>
    <t>Electrical Permit</t>
  </si>
  <si>
    <t xml:space="preserve">  New service up to 200 amp</t>
  </si>
  <si>
    <t>Plumbing Permit</t>
  </si>
  <si>
    <t xml:space="preserve">  # of fixtures</t>
  </si>
  <si>
    <t xml:space="preserve">  Water heater and vent</t>
  </si>
  <si>
    <t xml:space="preserve">  Gas line - up to 5 outlets</t>
  </si>
  <si>
    <t>Mechanical Permit</t>
  </si>
  <si>
    <t xml:space="preserve">  New Furnace</t>
  </si>
  <si>
    <t xml:space="preserve">  Appliance Vents</t>
  </si>
  <si>
    <t>Road Impact Fee</t>
  </si>
  <si>
    <t>Fire &amp; EMS Sevices</t>
  </si>
  <si>
    <t>Miscellaneous</t>
  </si>
  <si>
    <t>Total Fees</t>
  </si>
  <si>
    <t>Water Connection Fees</t>
  </si>
  <si>
    <t>3/4"</t>
  </si>
  <si>
    <t>1"</t>
  </si>
  <si>
    <t>1-1/2"</t>
  </si>
  <si>
    <t>2"</t>
  </si>
  <si>
    <t>Windsor</t>
  </si>
  <si>
    <t>Sewer District Capital Fac.</t>
  </si>
  <si>
    <t>Benton</t>
  </si>
  <si>
    <t>Garden City</t>
  </si>
  <si>
    <t>Lincoln</t>
  </si>
  <si>
    <t>Water Connection</t>
  </si>
  <si>
    <t>Water Line</t>
  </si>
  <si>
    <t>To Database</t>
  </si>
  <si>
    <t>Valuation Rate</t>
  </si>
  <si>
    <t>Total Valuation</t>
  </si>
  <si>
    <t xml:space="preserve">Total Valuation </t>
  </si>
  <si>
    <t>Permit Data</t>
  </si>
  <si>
    <t>Permit and Connection Fees</t>
  </si>
  <si>
    <t>Connection Fee Breakdown</t>
  </si>
  <si>
    <t>Ea</t>
  </si>
  <si>
    <t>Valuation</t>
  </si>
  <si>
    <t xml:space="preserve">Municipality  </t>
  </si>
  <si>
    <t xml:space="preserve">Total Valuation  </t>
  </si>
  <si>
    <t xml:space="preserve">Total  </t>
  </si>
  <si>
    <t xml:space="preserve">Total Fees  </t>
  </si>
  <si>
    <t>Trade 1</t>
  </si>
  <si>
    <t>Trade 2</t>
  </si>
  <si>
    <t>Trade 3</t>
  </si>
  <si>
    <t>Trade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</si>
</sst>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6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u/>
      <sz val="10"/>
      <color indexed="12"/>
      <name val="Arial"/>
      <family val="2"/>
    </font>
    <font>
      <b/>
      <u/>
      <sz val="10"/>
      <color rgb="FF09099F"/>
      <name val="Arial"/>
      <family val="2"/>
    </font>
    <font>
      <b/>
      <sz val="11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23">
    <xf numFmtId="0" fontId="0" fillId="0" borderId="0" xfId="0"/>
    <xf numFmtId="0" fontId="0" fillId="0" borderId="0" xfId="0" applyFill="1" applyBorder="1" applyProtection="1"/>
    <xf numFmtId="0" fontId="0" fillId="0" borderId="0" xfId="0" applyBorder="1" applyProtection="1"/>
    <xf numFmtId="0" fontId="4" fillId="3" borderId="2" xfId="0" applyFont="1" applyFill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/>
    </xf>
    <xf numFmtId="0" fontId="7" fillId="0" borderId="0" xfId="3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9" fontId="0" fillId="4" borderId="1" xfId="2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wrapText="1"/>
    </xf>
    <xf numFmtId="0" fontId="9" fillId="0" borderId="2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 wrapText="1"/>
    </xf>
    <xf numFmtId="44" fontId="9" fillId="0" borderId="2" xfId="1" applyFont="1" applyBorder="1" applyAlignment="1" applyProtection="1">
      <alignment horizontal="center" wrapText="1"/>
    </xf>
    <xf numFmtId="44" fontId="9" fillId="0" borderId="0" xfId="1" applyFont="1" applyBorder="1" applyAlignment="1" applyProtection="1">
      <alignment horizontal="center" wrapText="1"/>
    </xf>
    <xf numFmtId="0" fontId="8" fillId="5" borderId="4" xfId="0" applyFont="1" applyFill="1" applyBorder="1" applyProtection="1"/>
    <xf numFmtId="0" fontId="8" fillId="4" borderId="5" xfId="0" applyFont="1" applyFill="1" applyBorder="1" applyAlignment="1" applyProtection="1">
      <alignment horizontal="center"/>
      <protection locked="0"/>
    </xf>
    <xf numFmtId="3" fontId="8" fillId="0" borderId="5" xfId="0" applyNumberFormat="1" applyFont="1" applyBorder="1" applyAlignment="1" applyProtection="1">
      <alignment horizontal="center"/>
    </xf>
    <xf numFmtId="44" fontId="8" fillId="0" borderId="5" xfId="1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44" fontId="8" fillId="0" borderId="6" xfId="1" applyFont="1" applyBorder="1" applyAlignment="1" applyProtection="1">
      <alignment horizontal="center"/>
    </xf>
    <xf numFmtId="44" fontId="8" fillId="0" borderId="7" xfId="1" applyFont="1" applyBorder="1" applyAlignment="1" applyProtection="1">
      <alignment horizontal="center"/>
    </xf>
    <xf numFmtId="44" fontId="8" fillId="0" borderId="0" xfId="1" applyFont="1" applyBorder="1" applyAlignment="1" applyProtection="1">
      <alignment horizontal="center"/>
    </xf>
    <xf numFmtId="0" fontId="8" fillId="5" borderId="8" xfId="0" applyFont="1" applyFill="1" applyBorder="1" applyProtection="1"/>
    <xf numFmtId="0" fontId="8" fillId="4" borderId="9" xfId="0" applyFont="1" applyFill="1" applyBorder="1" applyAlignment="1" applyProtection="1">
      <alignment horizontal="center"/>
      <protection locked="0"/>
    </xf>
    <xf numFmtId="3" fontId="8" fillId="0" borderId="9" xfId="0" applyNumberFormat="1" applyFont="1" applyBorder="1" applyAlignment="1" applyProtection="1">
      <alignment horizontal="center"/>
    </xf>
    <xf numFmtId="2" fontId="8" fillId="0" borderId="9" xfId="0" applyNumberFormat="1" applyFont="1" applyBorder="1" applyAlignment="1" applyProtection="1">
      <alignment horizontal="center"/>
    </xf>
    <xf numFmtId="44" fontId="8" fillId="0" borderId="10" xfId="1" applyFont="1" applyBorder="1" applyAlignment="1" applyProtection="1">
      <alignment horizontal="center"/>
    </xf>
    <xf numFmtId="44" fontId="8" fillId="0" borderId="11" xfId="1" applyFont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right"/>
    </xf>
    <xf numFmtId="3" fontId="9" fillId="0" borderId="12" xfId="0" applyNumberFormat="1" applyFont="1" applyBorder="1" applyAlignment="1" applyProtection="1">
      <alignment horizontal="center"/>
    </xf>
    <xf numFmtId="2" fontId="9" fillId="0" borderId="12" xfId="0" applyNumberFormat="1" applyFont="1" applyBorder="1" applyAlignment="1" applyProtection="1">
      <alignment horizontal="center"/>
    </xf>
    <xf numFmtId="44" fontId="10" fillId="0" borderId="13" xfId="1" applyFont="1" applyBorder="1" applyAlignment="1" applyProtection="1">
      <alignment horizontal="center" wrapText="1"/>
    </xf>
    <xf numFmtId="44" fontId="9" fillId="0" borderId="2" xfId="0" applyNumberFormat="1" applyFont="1" applyBorder="1" applyProtection="1"/>
    <xf numFmtId="44" fontId="9" fillId="0" borderId="2" xfId="1" applyFont="1" applyBorder="1" applyProtection="1"/>
    <xf numFmtId="44" fontId="9" fillId="0" borderId="0" xfId="1" applyFont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37" fontId="11" fillId="0" borderId="0" xfId="1" applyNumberFormat="1" applyFont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right"/>
      <protection locked="0"/>
    </xf>
    <xf numFmtId="44" fontId="9" fillId="0" borderId="0" xfId="1" applyFont="1" applyBorder="1" applyAlignment="1" applyProtection="1">
      <alignment horizontal="right"/>
    </xf>
    <xf numFmtId="44" fontId="10" fillId="0" borderId="2" xfId="1" applyFont="1" applyBorder="1" applyProtection="1"/>
    <xf numFmtId="44" fontId="10" fillId="0" borderId="0" xfId="1" applyFont="1" applyBorder="1" applyProtection="1"/>
    <xf numFmtId="0" fontId="5" fillId="0" borderId="0" xfId="0" applyFont="1" applyBorder="1" applyProtection="1"/>
    <xf numFmtId="0" fontId="8" fillId="0" borderId="0" xfId="0" applyFont="1" applyBorder="1" applyProtection="1"/>
    <xf numFmtId="0" fontId="8" fillId="0" borderId="0" xfId="0" applyFont="1" applyFill="1" applyBorder="1" applyProtection="1"/>
    <xf numFmtId="44" fontId="9" fillId="0" borderId="14" xfId="0" applyNumberFormat="1" applyFont="1" applyBorder="1" applyProtection="1"/>
    <xf numFmtId="44" fontId="9" fillId="0" borderId="0" xfId="0" applyNumberFormat="1" applyFont="1" applyBorder="1" applyProtection="1"/>
    <xf numFmtId="0" fontId="0" fillId="0" borderId="0" xfId="0" applyFill="1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8" xfId="0" applyBorder="1"/>
    <xf numFmtId="0" fontId="5" fillId="0" borderId="0" xfId="0" applyFont="1" applyBorder="1"/>
    <xf numFmtId="0" fontId="0" fillId="0" borderId="0" xfId="0" applyBorder="1"/>
    <xf numFmtId="0" fontId="5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5" fillId="0" borderId="18" xfId="0" applyFont="1" applyBorder="1" applyAlignment="1">
      <alignment horizontal="center"/>
    </xf>
    <xf numFmtId="0" fontId="8" fillId="4" borderId="18" xfId="0" applyFont="1" applyFill="1" applyBorder="1" applyAlignment="1" applyProtection="1">
      <alignment horizontal="center"/>
    </xf>
    <xf numFmtId="0" fontId="8" fillId="4" borderId="9" xfId="0" applyFont="1" applyFill="1" applyBorder="1" applyAlignment="1" applyProtection="1">
      <alignment horizontal="center"/>
    </xf>
    <xf numFmtId="44" fontId="10" fillId="6" borderId="10" xfId="1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Fill="1" applyBorder="1" applyAlignment="1" applyProtection="1">
      <alignment horizontal="center"/>
    </xf>
    <xf numFmtId="0" fontId="8" fillId="4" borderId="18" xfId="0" applyFont="1" applyFill="1" applyBorder="1" applyAlignment="1" applyProtection="1">
      <alignment horizontal="center"/>
      <protection locked="0"/>
    </xf>
    <xf numFmtId="3" fontId="8" fillId="0" borderId="18" xfId="0" applyNumberFormat="1" applyFont="1" applyBorder="1" applyAlignment="1" applyProtection="1">
      <alignment horizontal="center"/>
    </xf>
    <xf numFmtId="44" fontId="8" fillId="0" borderId="18" xfId="1" applyFont="1" applyBorder="1" applyAlignment="1" applyProtection="1">
      <alignment horizontal="center"/>
    </xf>
    <xf numFmtId="2" fontId="8" fillId="0" borderId="18" xfId="0" applyNumberFormat="1" applyFont="1" applyBorder="1" applyAlignment="1" applyProtection="1">
      <alignment horizontal="center"/>
    </xf>
    <xf numFmtId="44" fontId="8" fillId="0" borderId="23" xfId="1" applyFont="1" applyBorder="1" applyAlignment="1" applyProtection="1">
      <alignment horizontal="center"/>
    </xf>
    <xf numFmtId="44" fontId="8" fillId="0" borderId="22" xfId="1" applyFont="1" applyBorder="1" applyAlignment="1" applyProtection="1">
      <alignment horizontal="center"/>
    </xf>
    <xf numFmtId="0" fontId="8" fillId="5" borderId="15" xfId="0" applyFont="1" applyFill="1" applyBorder="1" applyProtection="1"/>
    <xf numFmtId="0" fontId="3" fillId="7" borderId="2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27" xfId="0" applyBorder="1"/>
    <xf numFmtId="0" fontId="14" fillId="3" borderId="21" xfId="0" applyFont="1" applyFill="1" applyBorder="1" applyAlignment="1">
      <alignment horizontal="center" wrapText="1"/>
    </xf>
    <xf numFmtId="0" fontId="5" fillId="0" borderId="21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</xf>
    <xf numFmtId="44" fontId="10" fillId="6" borderId="8" xfId="1" applyFont="1" applyFill="1" applyBorder="1" applyAlignment="1" applyProtection="1">
      <alignment horizontal="center"/>
      <protection locked="0"/>
    </xf>
    <xf numFmtId="44" fontId="10" fillId="6" borderId="9" xfId="1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/>
    </xf>
    <xf numFmtId="44" fontId="8" fillId="0" borderId="16" xfId="1" applyFont="1" applyFill="1" applyBorder="1" applyAlignment="1">
      <alignment horizontal="center"/>
    </xf>
    <xf numFmtId="44" fontId="8" fillId="0" borderId="23" xfId="1" applyFont="1" applyFill="1" applyBorder="1" applyAlignment="1">
      <alignment horizontal="center"/>
    </xf>
    <xf numFmtId="44" fontId="8" fillId="0" borderId="17" xfId="1" applyFont="1" applyFill="1" applyBorder="1" applyAlignment="1">
      <alignment horizontal="center"/>
    </xf>
    <xf numFmtId="44" fontId="8" fillId="6" borderId="4" xfId="1" applyFont="1" applyFill="1" applyBorder="1" applyAlignment="1" applyProtection="1">
      <alignment horizontal="center"/>
      <protection locked="0"/>
    </xf>
    <xf numFmtId="44" fontId="8" fillId="6" borderId="5" xfId="1" applyFont="1" applyFill="1" applyBorder="1" applyAlignment="1" applyProtection="1">
      <alignment horizontal="center"/>
      <protection locked="0"/>
    </xf>
    <xf numFmtId="44" fontId="8" fillId="6" borderId="6" xfId="1" applyFont="1" applyFill="1" applyBorder="1" applyAlignment="1" applyProtection="1">
      <alignment horizontal="center"/>
      <protection locked="0"/>
    </xf>
    <xf numFmtId="44" fontId="8" fillId="6" borderId="15" xfId="1" applyFont="1" applyFill="1" applyBorder="1" applyAlignment="1" applyProtection="1">
      <alignment horizontal="center"/>
      <protection locked="0"/>
    </xf>
    <xf numFmtId="44" fontId="8" fillId="6" borderId="18" xfId="1" applyFont="1" applyFill="1" applyBorder="1" applyAlignment="1" applyProtection="1">
      <alignment horizontal="center"/>
      <protection locked="0"/>
    </xf>
    <xf numFmtId="44" fontId="8" fillId="6" borderId="19" xfId="1" applyFont="1" applyFill="1" applyBorder="1" applyAlignment="1" applyProtection="1">
      <alignment horizontal="center"/>
      <protection locked="0"/>
    </xf>
    <xf numFmtId="44" fontId="15" fillId="6" borderId="7" xfId="1" applyFont="1" applyFill="1" applyBorder="1" applyAlignment="1">
      <alignment horizontal="center"/>
    </xf>
    <xf numFmtId="44" fontId="15" fillId="6" borderId="6" xfId="1" applyFont="1" applyFill="1" applyBorder="1" applyAlignment="1">
      <alignment horizontal="center"/>
    </xf>
    <xf numFmtId="44" fontId="15" fillId="6" borderId="22" xfId="1" applyFont="1" applyFill="1" applyBorder="1" applyAlignment="1">
      <alignment horizontal="center"/>
    </xf>
    <xf numFmtId="44" fontId="15" fillId="6" borderId="19" xfId="1" applyFont="1" applyFill="1" applyBorder="1" applyAlignment="1">
      <alignment horizontal="center"/>
    </xf>
    <xf numFmtId="44" fontId="15" fillId="6" borderId="11" xfId="1" applyFont="1" applyFill="1" applyBorder="1" applyAlignment="1">
      <alignment horizontal="center"/>
    </xf>
    <xf numFmtId="44" fontId="15" fillId="6" borderId="10" xfId="1" applyFont="1" applyFill="1" applyBorder="1" applyAlignment="1">
      <alignment horizontal="center"/>
    </xf>
    <xf numFmtId="0" fontId="0" fillId="4" borderId="1" xfId="2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2" fillId="0" borderId="0" xfId="0" applyFont="1" applyFill="1" applyBorder="1" applyProtection="1"/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wrapText="1"/>
    </xf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14" fillId="3" borderId="34" xfId="0" applyFont="1" applyFill="1" applyBorder="1" applyAlignment="1">
      <alignment horizontal="center" wrapText="1"/>
    </xf>
    <xf numFmtId="0" fontId="5" fillId="0" borderId="34" xfId="0" applyFont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44" fontId="15" fillId="6" borderId="18" xfId="1" applyFont="1" applyFill="1" applyBorder="1" applyAlignment="1">
      <alignment horizontal="center"/>
    </xf>
    <xf numFmtId="44" fontId="15" fillId="6" borderId="5" xfId="1" applyFont="1" applyFill="1" applyBorder="1" applyAlignment="1">
      <alignment horizontal="center"/>
    </xf>
    <xf numFmtId="44" fontId="15" fillId="6" borderId="9" xfId="1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30" xfId="0" applyBorder="1"/>
    <xf numFmtId="0" fontId="5" fillId="0" borderId="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11" xfId="0" applyBorder="1"/>
    <xf numFmtId="0" fontId="0" fillId="0" borderId="0" xfId="0" applyFont="1"/>
    <xf numFmtId="0" fontId="3" fillId="2" borderId="2" xfId="0" applyFont="1" applyFill="1" applyBorder="1" applyAlignment="1" applyProtection="1">
      <alignment horizontal="center"/>
      <protection hidden="1"/>
    </xf>
    <xf numFmtId="49" fontId="5" fillId="0" borderId="21" xfId="0" applyNumberFormat="1" applyFont="1" applyBorder="1" applyAlignment="1">
      <alignment horizontal="center"/>
    </xf>
    <xf numFmtId="0" fontId="5" fillId="0" borderId="35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2" xfId="3" applyFont="1" applyBorder="1" applyAlignment="1" applyProtection="1">
      <alignment horizontal="center" wrapText="1"/>
      <protection hidden="1"/>
    </xf>
    <xf numFmtId="49" fontId="5" fillId="0" borderId="2" xfId="0" applyNumberFormat="1" applyFont="1" applyBorder="1" applyAlignment="1" applyProtection="1">
      <alignment horizontal="center" wrapText="1"/>
      <protection hidden="1"/>
    </xf>
    <xf numFmtId="0" fontId="8" fillId="3" borderId="4" xfId="0" applyFont="1" applyFill="1" applyBorder="1"/>
    <xf numFmtId="49" fontId="0" fillId="0" borderId="36" xfId="0" applyNumberFormat="1" applyBorder="1" applyAlignment="1">
      <alignment horizontal="center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36" xfId="0" applyFill="1" applyBorder="1" applyAlignment="1" applyProtection="1">
      <alignment horizontal="center"/>
      <protection locked="0"/>
    </xf>
    <xf numFmtId="0" fontId="8" fillId="0" borderId="36" xfId="0" applyFont="1" applyFill="1" applyBorder="1" applyAlignment="1" applyProtection="1">
      <alignment horizontal="center"/>
    </xf>
    <xf numFmtId="44" fontId="8" fillId="0" borderId="36" xfId="1" applyFont="1" applyFill="1" applyBorder="1" applyProtection="1">
      <protection hidden="1"/>
    </xf>
    <xf numFmtId="0" fontId="8" fillId="0" borderId="15" xfId="0" applyFont="1" applyFill="1" applyBorder="1"/>
    <xf numFmtId="49" fontId="0" fillId="0" borderId="18" xfId="0" applyNumberFormat="1" applyBorder="1" applyAlignment="1">
      <alignment horizontal="center"/>
    </xf>
    <xf numFmtId="0" fontId="0" fillId="0" borderId="29" xfId="0" applyFill="1" applyBorder="1" applyAlignment="1" applyProtection="1">
      <alignment horizontal="center"/>
      <protection locked="0"/>
    </xf>
    <xf numFmtId="0" fontId="0" fillId="6" borderId="18" xfId="0" applyFill="1" applyBorder="1" applyAlignment="1" applyProtection="1">
      <alignment horizontal="center"/>
      <protection locked="0"/>
    </xf>
    <xf numFmtId="0" fontId="8" fillId="6" borderId="18" xfId="0" applyFont="1" applyFill="1" applyBorder="1" applyAlignment="1" applyProtection="1">
      <alignment horizontal="center"/>
    </xf>
    <xf numFmtId="44" fontId="8" fillId="0" borderId="18" xfId="1" applyFont="1" applyBorder="1" applyProtection="1">
      <protection hidden="1"/>
    </xf>
    <xf numFmtId="0" fontId="0" fillId="0" borderId="18" xfId="0" applyFill="1" applyBorder="1" applyAlignment="1" applyProtection="1">
      <alignment horizontal="center"/>
      <protection locked="0"/>
    </xf>
    <xf numFmtId="0" fontId="16" fillId="9" borderId="0" xfId="0" applyFont="1" applyFill="1"/>
    <xf numFmtId="0" fontId="5" fillId="0" borderId="4" xfId="0" applyFont="1" applyBorder="1" applyAlignment="1" applyProtection="1">
      <alignment horizontal="right"/>
    </xf>
    <xf numFmtId="0" fontId="5" fillId="0" borderId="15" xfId="0" applyFont="1" applyBorder="1" applyAlignment="1" applyProtection="1">
      <alignment horizontal="right"/>
    </xf>
    <xf numFmtId="0" fontId="5" fillId="0" borderId="8" xfId="0" applyFont="1" applyFill="1" applyBorder="1" applyAlignment="1" applyProtection="1">
      <alignment horizontal="right"/>
    </xf>
    <xf numFmtId="0" fontId="0" fillId="4" borderId="5" xfId="1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</xf>
    <xf numFmtId="44" fontId="0" fillId="0" borderId="5" xfId="1" applyFont="1" applyFill="1" applyBorder="1" applyAlignment="1" applyProtection="1">
      <alignment horizontal="center"/>
    </xf>
    <xf numFmtId="0" fontId="0" fillId="4" borderId="18" xfId="1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</xf>
    <xf numFmtId="44" fontId="0" fillId="0" borderId="18" xfId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49" fontId="5" fillId="0" borderId="34" xfId="0" applyNumberFormat="1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2" fontId="0" fillId="0" borderId="5" xfId="1" applyNumberFormat="1" applyFont="1" applyFill="1" applyBorder="1" applyAlignment="1" applyProtection="1">
      <alignment horizontal="center"/>
    </xf>
    <xf numFmtId="2" fontId="0" fillId="0" borderId="18" xfId="1" applyNumberFormat="1" applyFont="1" applyFill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center"/>
    </xf>
    <xf numFmtId="0" fontId="5" fillId="0" borderId="35" xfId="0" applyFont="1" applyBorder="1" applyAlignment="1" applyProtection="1">
      <alignment horizontal="center" wrapText="1"/>
    </xf>
    <xf numFmtId="44" fontId="5" fillId="0" borderId="7" xfId="1" applyFont="1" applyBorder="1" applyAlignment="1" applyProtection="1">
      <alignment horizontal="center"/>
    </xf>
    <xf numFmtId="44" fontId="0" fillId="0" borderId="6" xfId="1" applyFont="1" applyFill="1" applyBorder="1" applyProtection="1"/>
    <xf numFmtId="0" fontId="0" fillId="4" borderId="9" xfId="1" applyNumberFormat="1" applyFon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</xf>
    <xf numFmtId="44" fontId="0" fillId="0" borderId="9" xfId="1" applyFont="1" applyFill="1" applyBorder="1" applyAlignment="1" applyProtection="1">
      <alignment horizontal="center"/>
    </xf>
    <xf numFmtId="44" fontId="0" fillId="0" borderId="10" xfId="1" applyFont="1" applyFill="1" applyBorder="1" applyProtection="1"/>
    <xf numFmtId="44" fontId="2" fillId="0" borderId="0" xfId="0" applyNumberFormat="1" applyFont="1"/>
    <xf numFmtId="2" fontId="0" fillId="0" borderId="9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44" fontId="0" fillId="0" borderId="0" xfId="0" applyNumberFormat="1"/>
    <xf numFmtId="0" fontId="2" fillId="0" borderId="0" xfId="0" applyFont="1" applyAlignment="1">
      <alignment horizontal="left"/>
    </xf>
    <xf numFmtId="0" fontId="8" fillId="5" borderId="40" xfId="0" applyFont="1" applyFill="1" applyBorder="1" applyProtection="1"/>
    <xf numFmtId="0" fontId="0" fillId="4" borderId="41" xfId="1" applyNumberFormat="1" applyFont="1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</xf>
    <xf numFmtId="44" fontId="0" fillId="0" borderId="41" xfId="1" applyFont="1" applyFill="1" applyBorder="1" applyAlignment="1" applyProtection="1">
      <alignment horizontal="center"/>
    </xf>
    <xf numFmtId="44" fontId="0" fillId="0" borderId="42" xfId="1" applyFont="1" applyFill="1" applyBorder="1" applyProtection="1"/>
    <xf numFmtId="0" fontId="5" fillId="11" borderId="6" xfId="0" applyFont="1" applyFill="1" applyBorder="1" applyAlignment="1" applyProtection="1">
      <alignment horizontal="center"/>
      <protection locked="0"/>
    </xf>
    <xf numFmtId="0" fontId="5" fillId="11" borderId="19" xfId="0" applyFont="1" applyFill="1" applyBorder="1" applyAlignment="1" applyProtection="1">
      <alignment horizontal="center"/>
      <protection locked="0"/>
    </xf>
    <xf numFmtId="9" fontId="5" fillId="11" borderId="10" xfId="2" applyFont="1" applyFill="1" applyBorder="1" applyAlignment="1" applyProtection="1">
      <alignment horizontal="center"/>
      <protection locked="0"/>
    </xf>
    <xf numFmtId="0" fontId="5" fillId="4" borderId="13" xfId="0" applyFont="1" applyFill="1" applyBorder="1" applyAlignment="1">
      <alignment horizontal="center"/>
    </xf>
    <xf numFmtId="44" fontId="8" fillId="0" borderId="38" xfId="1" applyFont="1" applyFill="1" applyBorder="1"/>
    <xf numFmtId="44" fontId="8" fillId="6" borderId="19" xfId="1" applyFont="1" applyFill="1" applyBorder="1"/>
    <xf numFmtId="0" fontId="8" fillId="0" borderId="8" xfId="0" applyFont="1" applyFill="1" applyBorder="1"/>
    <xf numFmtId="49" fontId="0" fillId="0" borderId="9" xfId="0" applyNumberFormat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8" fillId="6" borderId="9" xfId="0" applyFont="1" applyFill="1" applyBorder="1" applyAlignment="1" applyProtection="1">
      <alignment horizontal="center"/>
    </xf>
    <xf numFmtId="44" fontId="8" fillId="0" borderId="9" xfId="1" applyFont="1" applyBorder="1" applyAlignment="1" applyProtection="1">
      <alignment horizontal="left"/>
      <protection hidden="1"/>
    </xf>
    <xf numFmtId="44" fontId="8" fillId="6" borderId="10" xfId="1" applyFont="1" applyFill="1" applyBorder="1"/>
    <xf numFmtId="44" fontId="0" fillId="0" borderId="18" xfId="1" applyFont="1" applyFill="1" applyBorder="1" applyProtection="1"/>
    <xf numFmtId="44" fontId="0" fillId="0" borderId="5" xfId="1" applyFont="1" applyFill="1" applyBorder="1" applyProtection="1"/>
    <xf numFmtId="44" fontId="0" fillId="0" borderId="19" xfId="1" applyFont="1" applyFill="1" applyBorder="1" applyProtection="1"/>
    <xf numFmtId="44" fontId="0" fillId="0" borderId="9" xfId="1" applyFont="1" applyFill="1" applyBorder="1" applyProtection="1"/>
    <xf numFmtId="2" fontId="0" fillId="0" borderId="0" xfId="1" applyNumberFormat="1" applyFont="1" applyFill="1" applyBorder="1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44" fontId="0" fillId="0" borderId="0" xfId="1" applyFont="1" applyFill="1" applyBorder="1" applyProtection="1"/>
    <xf numFmtId="44" fontId="1" fillId="0" borderId="0" xfId="1" applyFont="1" applyFill="1" applyBorder="1" applyProtection="1"/>
    <xf numFmtId="0" fontId="0" fillId="0" borderId="15" xfId="0" applyBorder="1" applyAlignment="1">
      <alignment horizontal="left"/>
    </xf>
    <xf numFmtId="0" fontId="0" fillId="0" borderId="1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NumberForma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2" fillId="0" borderId="44" xfId="0" applyFont="1" applyBorder="1"/>
    <xf numFmtId="44" fontId="2" fillId="0" borderId="35" xfId="0" applyNumberFormat="1" applyFont="1" applyBorder="1"/>
    <xf numFmtId="44" fontId="8" fillId="0" borderId="0" xfId="1" applyFont="1" applyBorder="1" applyAlignment="1">
      <alignment wrapText="1"/>
    </xf>
    <xf numFmtId="0" fontId="3" fillId="7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164" fontId="0" fillId="0" borderId="4" xfId="1" applyNumberFormat="1" applyFont="1" applyFill="1" applyBorder="1"/>
    <xf numFmtId="164" fontId="0" fillId="0" borderId="5" xfId="1" applyNumberFormat="1" applyFont="1" applyFill="1" applyBorder="1"/>
    <xf numFmtId="44" fontId="0" fillId="6" borderId="5" xfId="1" applyFont="1" applyFill="1" applyBorder="1" applyProtection="1">
      <protection locked="0"/>
    </xf>
    <xf numFmtId="0" fontId="0" fillId="6" borderId="5" xfId="0" applyFill="1" applyBorder="1" applyProtection="1">
      <protection locked="0"/>
    </xf>
    <xf numFmtId="44" fontId="8" fillId="0" borderId="6" xfId="1" applyFont="1" applyFill="1" applyBorder="1"/>
    <xf numFmtId="164" fontId="0" fillId="0" borderId="15" xfId="1" applyNumberFormat="1" applyFont="1" applyFill="1" applyBorder="1"/>
    <xf numFmtId="164" fontId="0" fillId="0" borderId="18" xfId="1" applyNumberFormat="1" applyFont="1" applyFill="1" applyBorder="1"/>
    <xf numFmtId="44" fontId="0" fillId="6" borderId="18" xfId="1" applyFont="1" applyFill="1" applyBorder="1" applyProtection="1">
      <protection locked="0"/>
    </xf>
    <xf numFmtId="4" fontId="0" fillId="6" borderId="18" xfId="0" applyNumberFormat="1" applyFill="1" applyBorder="1" applyProtection="1">
      <protection locked="0"/>
    </xf>
    <xf numFmtId="44" fontId="8" fillId="0" borderId="19" xfId="1" applyFont="1" applyFill="1" applyBorder="1"/>
    <xf numFmtId="2" fontId="0" fillId="6" borderId="18" xfId="0" applyNumberFormat="1" applyFill="1" applyBorder="1" applyProtection="1">
      <protection locked="0"/>
    </xf>
    <xf numFmtId="0" fontId="0" fillId="0" borderId="46" xfId="0" applyBorder="1"/>
    <xf numFmtId="44" fontId="8" fillId="0" borderId="46" xfId="1" applyFont="1" applyBorder="1"/>
    <xf numFmtId="44" fontId="8" fillId="0" borderId="0" xfId="1" applyFont="1" applyBorder="1"/>
    <xf numFmtId="0" fontId="5" fillId="0" borderId="44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44" fontId="5" fillId="0" borderId="37" xfId="1" applyFont="1" applyBorder="1" applyAlignment="1">
      <alignment horizontal="center" wrapText="1"/>
    </xf>
    <xf numFmtId="44" fontId="5" fillId="0" borderId="36" xfId="1" applyFont="1" applyBorder="1" applyAlignment="1">
      <alignment horizontal="center" wrapText="1"/>
    </xf>
    <xf numFmtId="44" fontId="5" fillId="0" borderId="38" xfId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44" fontId="0" fillId="6" borderId="6" xfId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44" fontId="0" fillId="6" borderId="19" xfId="1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44" fontId="0" fillId="6" borderId="45" xfId="1" applyFont="1" applyFill="1" applyBorder="1" applyAlignment="1">
      <alignment horizontal="center"/>
    </xf>
    <xf numFmtId="0" fontId="0" fillId="0" borderId="29" xfId="0" applyFill="1" applyBorder="1"/>
    <xf numFmtId="4" fontId="0" fillId="6" borderId="18" xfId="1" applyNumberFormat="1" applyFont="1" applyFill="1" applyBorder="1" applyAlignment="1">
      <alignment horizontal="center"/>
    </xf>
    <xf numFmtId="4" fontId="0" fillId="6" borderId="18" xfId="0" applyNumberFormat="1" applyFill="1" applyBorder="1" applyAlignment="1">
      <alignment horizontal="center"/>
    </xf>
    <xf numFmtId="4" fontId="0" fillId="6" borderId="18" xfId="0" applyNumberFormat="1" applyFill="1" applyBorder="1"/>
    <xf numFmtId="0" fontId="0" fillId="0" borderId="0" xfId="0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0" fillId="0" borderId="15" xfId="0" applyFill="1" applyBorder="1"/>
    <xf numFmtId="4" fontId="0" fillId="6" borderId="19" xfId="0" applyNumberFormat="1" applyFill="1" applyBorder="1"/>
    <xf numFmtId="0" fontId="8" fillId="0" borderId="15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4" fontId="0" fillId="6" borderId="9" xfId="0" applyNumberFormat="1" applyFill="1" applyBorder="1" applyAlignment="1">
      <alignment horizontal="center"/>
    </xf>
    <xf numFmtId="4" fontId="0" fillId="6" borderId="9" xfId="0" applyNumberFormat="1" applyFill="1" applyBorder="1"/>
    <xf numFmtId="4" fontId="0" fillId="6" borderId="10" xfId="0" applyNumberFormat="1" applyFill="1" applyBorder="1"/>
    <xf numFmtId="0" fontId="5" fillId="0" borderId="1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15" xfId="0" applyFont="1" applyBorder="1" applyAlignment="1">
      <alignment horizontal="right"/>
    </xf>
    <xf numFmtId="0" fontId="5" fillId="0" borderId="19" xfId="0" applyFont="1" applyFill="1" applyBorder="1" applyAlignment="1">
      <alignment horizontal="center"/>
    </xf>
    <xf numFmtId="4" fontId="0" fillId="6" borderId="5" xfId="0" applyNumberFormat="1" applyFill="1" applyBorder="1" applyAlignment="1">
      <alignment horizontal="center"/>
    </xf>
    <xf numFmtId="4" fontId="0" fillId="6" borderId="5" xfId="0" applyNumberFormat="1" applyFill="1" applyBorder="1"/>
    <xf numFmtId="4" fontId="0" fillId="6" borderId="6" xfId="0" applyNumberFormat="1" applyFill="1" applyBorder="1"/>
    <xf numFmtId="0" fontId="0" fillId="0" borderId="47" xfId="0" applyFill="1" applyBorder="1" applyAlignment="1">
      <alignment horizontal="left"/>
    </xf>
    <xf numFmtId="0" fontId="0" fillId="0" borderId="47" xfId="0" applyFill="1" applyBorder="1"/>
    <xf numFmtId="0" fontId="5" fillId="0" borderId="21" xfId="0" applyFont="1" applyFill="1" applyBorder="1"/>
    <xf numFmtId="4" fontId="2" fillId="0" borderId="48" xfId="0" applyNumberFormat="1" applyFont="1" applyFill="1" applyBorder="1" applyAlignment="1">
      <alignment horizontal="center"/>
    </xf>
    <xf numFmtId="4" fontId="2" fillId="0" borderId="48" xfId="0" applyNumberFormat="1" applyFont="1" applyFill="1" applyBorder="1"/>
    <xf numFmtId="4" fontId="2" fillId="0" borderId="35" xfId="0" applyNumberFormat="1" applyFont="1" applyFill="1" applyBorder="1"/>
    <xf numFmtId="4" fontId="5" fillId="0" borderId="5" xfId="0" applyNumberFormat="1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0" fontId="0" fillId="0" borderId="15" xfId="0" applyFill="1" applyBorder="1" applyAlignment="1">
      <alignment horizontal="left"/>
    </xf>
    <xf numFmtId="0" fontId="0" fillId="0" borderId="4" xfId="0" applyBorder="1"/>
    <xf numFmtId="0" fontId="0" fillId="0" borderId="15" xfId="0" applyBorder="1"/>
    <xf numFmtId="0" fontId="0" fillId="0" borderId="43" xfId="0" applyBorder="1"/>
    <xf numFmtId="0" fontId="0" fillId="0" borderId="9" xfId="0" applyBorder="1" applyAlignment="1">
      <alignment horizontal="center"/>
    </xf>
    <xf numFmtId="44" fontId="0" fillId="6" borderId="10" xfId="1" applyFont="1" applyFill="1" applyBorder="1" applyAlignment="1">
      <alignment horizontal="center"/>
    </xf>
    <xf numFmtId="0" fontId="6" fillId="0" borderId="0" xfId="3" applyAlignment="1" applyProtection="1"/>
    <xf numFmtId="0" fontId="0" fillId="0" borderId="29" xfId="0" applyFill="1" applyBorder="1" applyAlignment="1">
      <alignment horizontal="left"/>
    </xf>
    <xf numFmtId="0" fontId="5" fillId="0" borderId="12" xfId="0" applyFont="1" applyFill="1" applyBorder="1"/>
    <xf numFmtId="0" fontId="18" fillId="0" borderId="0" xfId="3" applyFont="1" applyAlignment="1" applyProtection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8" fillId="0" borderId="8" xfId="0" applyFont="1" applyBorder="1"/>
    <xf numFmtId="0" fontId="0" fillId="0" borderId="49" xfId="0" applyBorder="1"/>
    <xf numFmtId="0" fontId="0" fillId="0" borderId="36" xfId="0" applyBorder="1" applyAlignment="1">
      <alignment horizontal="center"/>
    </xf>
    <xf numFmtId="44" fontId="0" fillId="6" borderId="38" xfId="1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10" borderId="2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44" fontId="0" fillId="0" borderId="0" xfId="1" applyFont="1"/>
    <xf numFmtId="44" fontId="0" fillId="0" borderId="0" xfId="0" applyNumberFormat="1" applyBorder="1"/>
    <xf numFmtId="44" fontId="0" fillId="0" borderId="39" xfId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0" fillId="0" borderId="18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4" fontId="0" fillId="10" borderId="18" xfId="0" applyNumberFormat="1" applyFill="1" applyBorder="1" applyAlignment="1">
      <alignment horizontal="center"/>
    </xf>
    <xf numFmtId="4" fontId="0" fillId="10" borderId="18" xfId="0" applyNumberFormat="1" applyFill="1" applyBorder="1"/>
    <xf numFmtId="4" fontId="0" fillId="10" borderId="19" xfId="0" applyNumberFormat="1" applyFill="1" applyBorder="1"/>
    <xf numFmtId="44" fontId="5" fillId="0" borderId="46" xfId="1" applyFont="1" applyBorder="1"/>
    <xf numFmtId="44" fontId="2" fillId="0" borderId="2" xfId="0" applyNumberFormat="1" applyFont="1" applyBorder="1"/>
    <xf numFmtId="0" fontId="2" fillId="0" borderId="52" xfId="0" applyFont="1" applyBorder="1" applyAlignment="1">
      <alignment horizontal="right"/>
    </xf>
    <xf numFmtId="0" fontId="0" fillId="0" borderId="53" xfId="0" applyFill="1" applyBorder="1" applyAlignment="1">
      <alignment horizontal="left"/>
    </xf>
    <xf numFmtId="0" fontId="5" fillId="0" borderId="46" xfId="0" applyFont="1" applyFill="1" applyBorder="1" applyAlignment="1">
      <alignment horizontal="right"/>
    </xf>
    <xf numFmtId="44" fontId="0" fillId="6" borderId="51" xfId="1" applyFont="1" applyFill="1" applyBorder="1" applyAlignment="1">
      <alignment horizontal="center"/>
    </xf>
    <xf numFmtId="44" fontId="2" fillId="0" borderId="2" xfId="1" applyFont="1" applyFill="1" applyBorder="1" applyAlignment="1">
      <alignment horizontal="center"/>
    </xf>
    <xf numFmtId="1" fontId="0" fillId="10" borderId="5" xfId="0" applyNumberFormat="1" applyFill="1" applyBorder="1" applyAlignment="1">
      <alignment horizontal="center"/>
    </xf>
    <xf numFmtId="1" fontId="0" fillId="10" borderId="18" xfId="0" applyNumberFormat="1" applyFill="1" applyBorder="1" applyAlignment="1">
      <alignment horizontal="center"/>
    </xf>
    <xf numFmtId="1" fontId="0" fillId="10" borderId="39" xfId="0" applyNumberForma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2" fillId="0" borderId="0" xfId="0" applyFont="1" applyBorder="1" applyAlignment="1">
      <alignment horizontal="right"/>
    </xf>
    <xf numFmtId="44" fontId="2" fillId="0" borderId="0" xfId="0" applyNumberFormat="1" applyFont="1" applyBorder="1"/>
    <xf numFmtId="44" fontId="19" fillId="0" borderId="0" xfId="3" applyNumberFormat="1" applyFont="1" applyAlignment="1" applyProtection="1"/>
    <xf numFmtId="44" fontId="0" fillId="0" borderId="0" xfId="1" applyFont="1" applyBorder="1" applyAlignment="1">
      <alignment wrapText="1"/>
    </xf>
    <xf numFmtId="44" fontId="0" fillId="0" borderId="0" xfId="1" applyFont="1" applyBorder="1"/>
    <xf numFmtId="44" fontId="5" fillId="0" borderId="0" xfId="1" applyFont="1" applyBorder="1" applyAlignment="1">
      <alignment wrapText="1"/>
    </xf>
    <xf numFmtId="44" fontId="0" fillId="0" borderId="50" xfId="1" applyFont="1" applyBorder="1"/>
    <xf numFmtId="44" fontId="2" fillId="0" borderId="0" xfId="1" applyFont="1" applyFill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9099F"/>
      <color rgb="FFFFFFCC"/>
      <color rgb="FFFFFF99"/>
      <color rgb="FFCCFFCC"/>
      <color rgb="FF070777"/>
      <color rgb="FF0A0AB2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3</xdr:row>
      <xdr:rowOff>200023</xdr:rowOff>
    </xdr:from>
    <xdr:to>
      <xdr:col>8</xdr:col>
      <xdr:colOff>219078</xdr:colOff>
      <xdr:row>11</xdr:row>
      <xdr:rowOff>85730</xdr:rowOff>
    </xdr:to>
    <xdr:cxnSp macro="">
      <xdr:nvCxnSpPr>
        <xdr:cNvPr id="16" name="Straight Arrow Connector 15"/>
        <xdr:cNvCxnSpPr/>
      </xdr:nvCxnSpPr>
      <xdr:spPr>
        <a:xfrm rot="5400000" flipH="1" flipV="1">
          <a:off x="5191123" y="952500"/>
          <a:ext cx="1524007" cy="1047753"/>
        </a:xfrm>
        <a:prstGeom prst="straightConnector1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10</xdr:row>
      <xdr:rowOff>142875</xdr:rowOff>
    </xdr:from>
    <xdr:to>
      <xdr:col>6</xdr:col>
      <xdr:colOff>542925</xdr:colOff>
      <xdr:row>12</xdr:row>
      <xdr:rowOff>28575</xdr:rowOff>
    </xdr:to>
    <xdr:sp macro="" textlink="">
      <xdr:nvSpPr>
        <xdr:cNvPr id="17" name="TextBox 16"/>
        <xdr:cNvSpPr txBox="1"/>
      </xdr:nvSpPr>
      <xdr:spPr>
        <a:xfrm>
          <a:off x="4324350" y="2105025"/>
          <a:ext cx="11049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Take-off Values</a:t>
          </a:r>
        </a:p>
      </xdr:txBody>
    </xdr:sp>
    <xdr:clientData/>
  </xdr:twoCellAnchor>
  <xdr:twoCellAnchor>
    <xdr:from>
      <xdr:col>6</xdr:col>
      <xdr:colOff>542925</xdr:colOff>
      <xdr:row>3</xdr:row>
      <xdr:rowOff>200025</xdr:rowOff>
    </xdr:from>
    <xdr:to>
      <xdr:col>10</xdr:col>
      <xdr:colOff>247650</xdr:colOff>
      <xdr:row>11</xdr:row>
      <xdr:rowOff>85725</xdr:rowOff>
    </xdr:to>
    <xdr:cxnSp macro="">
      <xdr:nvCxnSpPr>
        <xdr:cNvPr id="18" name="Straight Arrow Connector 17"/>
        <xdr:cNvCxnSpPr>
          <a:stCxn id="17" idx="3"/>
        </xdr:cNvCxnSpPr>
      </xdr:nvCxnSpPr>
      <xdr:spPr>
        <a:xfrm flipV="1">
          <a:off x="5429250" y="714375"/>
          <a:ext cx="2447925" cy="1524000"/>
        </a:xfrm>
        <a:prstGeom prst="straightConnector1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4</xdr:row>
      <xdr:rowOff>0</xdr:rowOff>
    </xdr:from>
    <xdr:to>
      <xdr:col>6</xdr:col>
      <xdr:colOff>542925</xdr:colOff>
      <xdr:row>11</xdr:row>
      <xdr:rowOff>90488</xdr:rowOff>
    </xdr:to>
    <xdr:cxnSp macro="">
      <xdr:nvCxnSpPr>
        <xdr:cNvPr id="23" name="Straight Arrow Connector 22"/>
        <xdr:cNvCxnSpPr>
          <a:stCxn id="17" idx="3"/>
        </xdr:cNvCxnSpPr>
      </xdr:nvCxnSpPr>
      <xdr:spPr>
        <a:xfrm flipH="1" flipV="1">
          <a:off x="5257800" y="723900"/>
          <a:ext cx="171450" cy="1519238"/>
        </a:xfrm>
        <a:prstGeom prst="straightConnector1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7</xdr:row>
      <xdr:rowOff>85725</xdr:rowOff>
    </xdr:from>
    <xdr:to>
      <xdr:col>5</xdr:col>
      <xdr:colOff>123825</xdr:colOff>
      <xdr:row>11</xdr:row>
      <xdr:rowOff>90488</xdr:rowOff>
    </xdr:to>
    <xdr:cxnSp macro="">
      <xdr:nvCxnSpPr>
        <xdr:cNvPr id="27" name="Straight Arrow Connector 26"/>
        <xdr:cNvCxnSpPr>
          <a:stCxn id="17" idx="1"/>
        </xdr:cNvCxnSpPr>
      </xdr:nvCxnSpPr>
      <xdr:spPr>
        <a:xfrm rot="10800000">
          <a:off x="3238500" y="1485900"/>
          <a:ext cx="1085850" cy="757238"/>
        </a:xfrm>
        <a:prstGeom prst="straightConnector1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7</xdr:row>
      <xdr:rowOff>85725</xdr:rowOff>
    </xdr:from>
    <xdr:to>
      <xdr:col>9</xdr:col>
      <xdr:colOff>361950</xdr:colOff>
      <xdr:row>11</xdr:row>
      <xdr:rowOff>90488</xdr:rowOff>
    </xdr:to>
    <xdr:cxnSp macro="">
      <xdr:nvCxnSpPr>
        <xdr:cNvPr id="30" name="Straight Arrow Connector 29"/>
        <xdr:cNvCxnSpPr>
          <a:stCxn id="17" idx="3"/>
        </xdr:cNvCxnSpPr>
      </xdr:nvCxnSpPr>
      <xdr:spPr>
        <a:xfrm flipV="1">
          <a:off x="5429250" y="1485900"/>
          <a:ext cx="1876425" cy="757238"/>
        </a:xfrm>
        <a:prstGeom prst="straightConnector1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1371600</xdr:colOff>
      <xdr:row>26</xdr:row>
      <xdr:rowOff>57150</xdr:rowOff>
    </xdr:from>
    <xdr:to>
      <xdr:col>3</xdr:col>
      <xdr:colOff>638175</xdr:colOff>
      <xdr:row>27</xdr:row>
      <xdr:rowOff>133349</xdr:rowOff>
    </xdr:to>
    <xdr:sp macro="" textlink="">
      <xdr:nvSpPr>
        <xdr:cNvPr id="8" name="TextBox 7"/>
        <xdr:cNvSpPr txBox="1"/>
      </xdr:nvSpPr>
      <xdr:spPr>
        <a:xfrm>
          <a:off x="1466850" y="5153025"/>
          <a:ext cx="1800225" cy="266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FlatworkLaborList (B16:B26</a:t>
          </a:r>
        </a:p>
      </xdr:txBody>
    </xdr:sp>
    <xdr:clientData/>
  </xdr:twoCellAnchor>
  <xdr:twoCellAnchor>
    <xdr:from>
      <xdr:col>1</xdr:col>
      <xdr:colOff>1047750</xdr:colOff>
      <xdr:row>25</xdr:row>
      <xdr:rowOff>180976</xdr:rowOff>
    </xdr:from>
    <xdr:to>
      <xdr:col>1</xdr:col>
      <xdr:colOff>1371600</xdr:colOff>
      <xdr:row>27</xdr:row>
      <xdr:rowOff>1</xdr:rowOff>
    </xdr:to>
    <xdr:cxnSp macro="">
      <xdr:nvCxnSpPr>
        <xdr:cNvPr id="10" name="Straight Connector 9"/>
        <xdr:cNvCxnSpPr>
          <a:stCxn id="8" idx="1"/>
        </xdr:cNvCxnSpPr>
      </xdr:nvCxnSpPr>
      <xdr:spPr>
        <a:xfrm rot="10800000">
          <a:off x="1143000" y="5086351"/>
          <a:ext cx="323850" cy="200025"/>
        </a:xfrm>
        <a:prstGeom prst="line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561975</xdr:colOff>
      <xdr:row>26</xdr:row>
      <xdr:rowOff>161926</xdr:rowOff>
    </xdr:from>
    <xdr:to>
      <xdr:col>8</xdr:col>
      <xdr:colOff>590550</xdr:colOff>
      <xdr:row>28</xdr:row>
      <xdr:rowOff>28576</xdr:rowOff>
    </xdr:to>
    <xdr:sp macro="" textlink="">
      <xdr:nvSpPr>
        <xdr:cNvPr id="11" name="TextBox 10"/>
        <xdr:cNvSpPr txBox="1"/>
      </xdr:nvSpPr>
      <xdr:spPr>
        <a:xfrm>
          <a:off x="4762500" y="5086351"/>
          <a:ext cx="20859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FlatworkLabor</a:t>
          </a:r>
          <a:r>
            <a:rPr lang="en-US" sz="1100" b="1" baseline="0"/>
            <a:t>DB  (Cells B16:I26)</a:t>
          </a:r>
          <a:endParaRPr lang="en-US" sz="1100" b="1"/>
        </a:p>
      </xdr:txBody>
    </xdr:sp>
    <xdr:clientData/>
  </xdr:twoCellAnchor>
  <xdr:twoCellAnchor>
    <xdr:from>
      <xdr:col>5</xdr:col>
      <xdr:colOff>285751</xdr:colOff>
      <xdr:row>25</xdr:row>
      <xdr:rowOff>180975</xdr:rowOff>
    </xdr:from>
    <xdr:to>
      <xdr:col>5</xdr:col>
      <xdr:colOff>561976</xdr:colOff>
      <xdr:row>27</xdr:row>
      <xdr:rowOff>95251</xdr:rowOff>
    </xdr:to>
    <xdr:cxnSp macro="">
      <xdr:nvCxnSpPr>
        <xdr:cNvPr id="13" name="Straight Connector 12"/>
        <xdr:cNvCxnSpPr>
          <a:stCxn id="11" idx="1"/>
        </xdr:cNvCxnSpPr>
      </xdr:nvCxnSpPr>
      <xdr:spPr>
        <a:xfrm rot="10800000">
          <a:off x="4486276" y="4914900"/>
          <a:ext cx="276225" cy="295276"/>
        </a:xfrm>
        <a:prstGeom prst="line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116158</xdr:colOff>
      <xdr:row>2</xdr:row>
      <xdr:rowOff>85725</xdr:rowOff>
    </xdr:from>
    <xdr:to>
      <xdr:col>5</xdr:col>
      <xdr:colOff>466726</xdr:colOff>
      <xdr:row>3</xdr:row>
      <xdr:rowOff>162622</xdr:rowOff>
    </xdr:to>
    <xdr:sp macro="" textlink="">
      <xdr:nvSpPr>
        <xdr:cNvPr id="15" name="TextBox 14"/>
        <xdr:cNvSpPr txBox="1"/>
      </xdr:nvSpPr>
      <xdr:spPr>
        <a:xfrm>
          <a:off x="2741341" y="387737"/>
          <a:ext cx="1721239" cy="285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FlatworkLaborTrade (G4)</a:t>
          </a:r>
        </a:p>
      </xdr:txBody>
    </xdr:sp>
    <xdr:clientData/>
  </xdr:twoCellAnchor>
  <xdr:twoCellAnchor>
    <xdr:from>
      <xdr:col>6</xdr:col>
      <xdr:colOff>628650</xdr:colOff>
      <xdr:row>0</xdr:row>
      <xdr:rowOff>38100</xdr:rowOff>
    </xdr:from>
    <xdr:to>
      <xdr:col>9</xdr:col>
      <xdr:colOff>619124</xdr:colOff>
      <xdr:row>1</xdr:row>
      <xdr:rowOff>123825</xdr:rowOff>
    </xdr:to>
    <xdr:sp macro="" textlink="">
      <xdr:nvSpPr>
        <xdr:cNvPr id="16" name="TextBox 15"/>
        <xdr:cNvSpPr txBox="1"/>
      </xdr:nvSpPr>
      <xdr:spPr>
        <a:xfrm>
          <a:off x="5314950" y="38100"/>
          <a:ext cx="2047874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FlatworkConcreteSupplier (K4)</a:t>
          </a:r>
        </a:p>
      </xdr:txBody>
    </xdr:sp>
    <xdr:clientData/>
  </xdr:twoCellAnchor>
  <xdr:twoCellAnchor>
    <xdr:from>
      <xdr:col>4</xdr:col>
      <xdr:colOff>0</xdr:colOff>
      <xdr:row>0</xdr:row>
      <xdr:rowOff>38100</xdr:rowOff>
    </xdr:from>
    <xdr:to>
      <xdr:col>6</xdr:col>
      <xdr:colOff>561975</xdr:colOff>
      <xdr:row>1</xdr:row>
      <xdr:rowOff>123824</xdr:rowOff>
    </xdr:to>
    <xdr:sp macro="" textlink="">
      <xdr:nvSpPr>
        <xdr:cNvPr id="17" name="TextBox 16"/>
        <xdr:cNvSpPr txBox="1"/>
      </xdr:nvSpPr>
      <xdr:spPr>
        <a:xfrm>
          <a:off x="3314700" y="38100"/>
          <a:ext cx="1933575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FlatworkConcreteWaste  (I4)</a:t>
          </a:r>
        </a:p>
      </xdr:txBody>
    </xdr:sp>
    <xdr:clientData/>
  </xdr:twoCellAnchor>
  <xdr:twoCellAnchor>
    <xdr:from>
      <xdr:col>9</xdr:col>
      <xdr:colOff>238126</xdr:colOff>
      <xdr:row>14</xdr:row>
      <xdr:rowOff>38100</xdr:rowOff>
    </xdr:from>
    <xdr:to>
      <xdr:col>12</xdr:col>
      <xdr:colOff>116159</xdr:colOff>
      <xdr:row>14</xdr:row>
      <xdr:rowOff>313628</xdr:rowOff>
    </xdr:to>
    <xdr:sp macro="" textlink="">
      <xdr:nvSpPr>
        <xdr:cNvPr id="18" name="TextBox 17"/>
        <xdr:cNvSpPr txBox="1"/>
      </xdr:nvSpPr>
      <xdr:spPr>
        <a:xfrm>
          <a:off x="6975321" y="2767826"/>
          <a:ext cx="2015350" cy="2755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FlatworkLaborTrades (G15:I15)</a:t>
          </a:r>
        </a:p>
      </xdr:txBody>
    </xdr:sp>
    <xdr:clientData/>
  </xdr:twoCellAnchor>
  <xdr:twoCellAnchor>
    <xdr:from>
      <xdr:col>6</xdr:col>
      <xdr:colOff>295275</xdr:colOff>
      <xdr:row>28</xdr:row>
      <xdr:rowOff>190500</xdr:rowOff>
    </xdr:from>
    <xdr:to>
      <xdr:col>10</xdr:col>
      <xdr:colOff>9525</xdr:colOff>
      <xdr:row>30</xdr:row>
      <xdr:rowOff>19049</xdr:rowOff>
    </xdr:to>
    <xdr:sp macro="" textlink="">
      <xdr:nvSpPr>
        <xdr:cNvPr id="19" name="TextBox 18"/>
        <xdr:cNvSpPr txBox="1"/>
      </xdr:nvSpPr>
      <xdr:spPr>
        <a:xfrm>
          <a:off x="5181600" y="5667375"/>
          <a:ext cx="2457450" cy="266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Concrete</a:t>
          </a:r>
          <a:r>
            <a:rPr lang="en-US" sz="1100" b="1" baseline="0"/>
            <a:t>MatSuppliers</a:t>
          </a:r>
          <a:r>
            <a:rPr lang="en-US" sz="1100" b="1"/>
            <a:t> (Cells D30:F30)</a:t>
          </a:r>
        </a:p>
      </xdr:txBody>
    </xdr:sp>
    <xdr:clientData/>
  </xdr:twoCellAnchor>
  <xdr:twoCellAnchor>
    <xdr:from>
      <xdr:col>5</xdr:col>
      <xdr:colOff>333375</xdr:colOff>
      <xdr:row>3</xdr:row>
      <xdr:rowOff>9525</xdr:rowOff>
    </xdr:from>
    <xdr:to>
      <xdr:col>5</xdr:col>
      <xdr:colOff>676275</xdr:colOff>
      <xdr:row>3</xdr:row>
      <xdr:rowOff>76200</xdr:rowOff>
    </xdr:to>
    <xdr:cxnSp macro="">
      <xdr:nvCxnSpPr>
        <xdr:cNvPr id="20" name="Straight Connector 19"/>
        <xdr:cNvCxnSpPr/>
      </xdr:nvCxnSpPr>
      <xdr:spPr>
        <a:xfrm>
          <a:off x="4533900" y="676275"/>
          <a:ext cx="342900" cy="66675"/>
        </a:xfrm>
        <a:prstGeom prst="line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409575</xdr:colOff>
      <xdr:row>1</xdr:row>
      <xdr:rowOff>76200</xdr:rowOff>
    </xdr:from>
    <xdr:to>
      <xdr:col>7</xdr:col>
      <xdr:colOff>676275</xdr:colOff>
      <xdr:row>3</xdr:row>
      <xdr:rowOff>9525</xdr:rowOff>
    </xdr:to>
    <xdr:cxnSp macro="">
      <xdr:nvCxnSpPr>
        <xdr:cNvPr id="25" name="Straight Connector 24"/>
        <xdr:cNvCxnSpPr/>
      </xdr:nvCxnSpPr>
      <xdr:spPr>
        <a:xfrm>
          <a:off x="5095875" y="228600"/>
          <a:ext cx="952500" cy="295275"/>
        </a:xfrm>
        <a:prstGeom prst="line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466726</xdr:colOff>
      <xdr:row>1</xdr:row>
      <xdr:rowOff>95249</xdr:rowOff>
    </xdr:from>
    <xdr:to>
      <xdr:col>10</xdr:col>
      <xdr:colOff>9526</xdr:colOff>
      <xdr:row>2</xdr:row>
      <xdr:rowOff>180974</xdr:rowOff>
    </xdr:to>
    <xdr:cxnSp macro="">
      <xdr:nvCxnSpPr>
        <xdr:cNvPr id="28" name="Straight Connector 27"/>
        <xdr:cNvCxnSpPr/>
      </xdr:nvCxnSpPr>
      <xdr:spPr>
        <a:xfrm rot="16200000" flipH="1">
          <a:off x="7205663" y="252412"/>
          <a:ext cx="238125" cy="228600"/>
        </a:xfrm>
        <a:prstGeom prst="line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171450</xdr:rowOff>
    </xdr:from>
    <xdr:to>
      <xdr:col>9</xdr:col>
      <xdr:colOff>238126</xdr:colOff>
      <xdr:row>14</xdr:row>
      <xdr:rowOff>175864</xdr:rowOff>
    </xdr:to>
    <xdr:cxnSp macro="">
      <xdr:nvCxnSpPr>
        <xdr:cNvPr id="29" name="Straight Connector 28"/>
        <xdr:cNvCxnSpPr>
          <a:stCxn id="18" idx="1"/>
        </xdr:cNvCxnSpPr>
      </xdr:nvCxnSpPr>
      <xdr:spPr>
        <a:xfrm rot="10800000">
          <a:off x="6737195" y="2901176"/>
          <a:ext cx="238126" cy="4414"/>
        </a:xfrm>
        <a:prstGeom prst="line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</xdr:colOff>
      <xdr:row>29</xdr:row>
      <xdr:rowOff>114300</xdr:rowOff>
    </xdr:from>
    <xdr:to>
      <xdr:col>6</xdr:col>
      <xdr:colOff>295276</xdr:colOff>
      <xdr:row>29</xdr:row>
      <xdr:rowOff>115888</xdr:rowOff>
    </xdr:to>
    <xdr:cxnSp macro="">
      <xdr:nvCxnSpPr>
        <xdr:cNvPr id="65" name="Straight Connector 64"/>
        <xdr:cNvCxnSpPr>
          <a:stCxn id="19" idx="1"/>
        </xdr:cNvCxnSpPr>
      </xdr:nvCxnSpPr>
      <xdr:spPr>
        <a:xfrm rot="10800000">
          <a:off x="4886334" y="5800725"/>
          <a:ext cx="295267" cy="1588"/>
        </a:xfrm>
        <a:prstGeom prst="line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31</xdr:row>
      <xdr:rowOff>152400</xdr:rowOff>
    </xdr:from>
    <xdr:to>
      <xdr:col>9</xdr:col>
      <xdr:colOff>161925</xdr:colOff>
      <xdr:row>33</xdr:row>
      <xdr:rowOff>57149</xdr:rowOff>
    </xdr:to>
    <xdr:sp macro="" textlink="">
      <xdr:nvSpPr>
        <xdr:cNvPr id="21" name="TextBox 20"/>
        <xdr:cNvSpPr txBox="1"/>
      </xdr:nvSpPr>
      <xdr:spPr>
        <a:xfrm>
          <a:off x="5267325" y="6248400"/>
          <a:ext cx="1838325" cy="266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Concrete</a:t>
          </a:r>
          <a:r>
            <a:rPr lang="en-US" sz="1100" b="1" baseline="0"/>
            <a:t>DB (Cells</a:t>
          </a:r>
          <a:r>
            <a:rPr lang="en-US" sz="1100" b="1"/>
            <a:t> B31:F38)</a:t>
          </a:r>
        </a:p>
      </xdr:txBody>
    </xdr:sp>
    <xdr:clientData/>
  </xdr:twoCellAnchor>
  <xdr:twoCellAnchor>
    <xdr:from>
      <xdr:col>6</xdr:col>
      <xdr:colOff>2</xdr:colOff>
      <xdr:row>32</xdr:row>
      <xdr:rowOff>104775</xdr:rowOff>
    </xdr:from>
    <xdr:to>
      <xdr:col>6</xdr:col>
      <xdr:colOff>381000</xdr:colOff>
      <xdr:row>32</xdr:row>
      <xdr:rowOff>106363</xdr:rowOff>
    </xdr:to>
    <xdr:cxnSp macro="">
      <xdr:nvCxnSpPr>
        <xdr:cNvPr id="22" name="Straight Connector 21"/>
        <xdr:cNvCxnSpPr>
          <a:stCxn id="21" idx="1"/>
        </xdr:cNvCxnSpPr>
      </xdr:nvCxnSpPr>
      <xdr:spPr>
        <a:xfrm rot="10800000">
          <a:off x="4886327" y="6381750"/>
          <a:ext cx="380998" cy="1588"/>
        </a:xfrm>
        <a:prstGeom prst="line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1666874</xdr:colOff>
      <xdr:row>38</xdr:row>
      <xdr:rowOff>29369</xdr:rowOff>
    </xdr:from>
    <xdr:to>
      <xdr:col>4</xdr:col>
      <xdr:colOff>247649</xdr:colOff>
      <xdr:row>39</xdr:row>
      <xdr:rowOff>115093</xdr:rowOff>
    </xdr:to>
    <xdr:sp macro="" textlink="">
      <xdr:nvSpPr>
        <xdr:cNvPr id="33" name="TextBox 32"/>
        <xdr:cNvSpPr txBox="1"/>
      </xdr:nvSpPr>
      <xdr:spPr>
        <a:xfrm>
          <a:off x="1766093" y="7331869"/>
          <a:ext cx="1795462" cy="2643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PSI</a:t>
          </a:r>
          <a:r>
            <a:rPr lang="en-US" sz="1100" b="1" baseline="0"/>
            <a:t>List (Cells</a:t>
          </a:r>
          <a:r>
            <a:rPr lang="en-US" sz="1100" b="1"/>
            <a:t> B31:B38)</a:t>
          </a:r>
        </a:p>
      </xdr:txBody>
    </xdr:sp>
    <xdr:clientData/>
  </xdr:twoCellAnchor>
  <xdr:twoCellAnchor>
    <xdr:from>
      <xdr:col>1</xdr:col>
      <xdr:colOff>1314452</xdr:colOff>
      <xdr:row>38</xdr:row>
      <xdr:rowOff>29371</xdr:rowOff>
    </xdr:from>
    <xdr:to>
      <xdr:col>1</xdr:col>
      <xdr:colOff>1666874</xdr:colOff>
      <xdr:row>38</xdr:row>
      <xdr:rowOff>162719</xdr:rowOff>
    </xdr:to>
    <xdr:cxnSp macro="">
      <xdr:nvCxnSpPr>
        <xdr:cNvPr id="41" name="Straight Connector 40"/>
        <xdr:cNvCxnSpPr>
          <a:stCxn id="33" idx="1"/>
        </xdr:cNvCxnSpPr>
      </xdr:nvCxnSpPr>
      <xdr:spPr>
        <a:xfrm rot="10800000">
          <a:off x="1413671" y="7331871"/>
          <a:ext cx="352422" cy="133348"/>
        </a:xfrm>
        <a:prstGeom prst="line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chemeClr val="tx1"/>
          </a:solidFill>
          <a:tailEnd type="stealth" w="med" len="lg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B1:M40"/>
  <sheetViews>
    <sheetView tabSelected="1" workbookViewId="0"/>
  </sheetViews>
  <sheetFormatPr defaultRowHeight="14.25"/>
  <cols>
    <col min="1" max="1" width="1.25" customWidth="1"/>
    <col min="2" max="2" width="21.75" customWidth="1"/>
    <col min="12" max="12" width="10" customWidth="1"/>
  </cols>
  <sheetData>
    <row r="1" spans="2:13" ht="12" customHeight="1"/>
    <row r="2" spans="2:13" ht="12" customHeight="1" thickBot="1"/>
    <row r="3" spans="2:13" ht="16.5" thickBot="1">
      <c r="B3" s="82" t="s">
        <v>0</v>
      </c>
      <c r="C3" s="1"/>
      <c r="D3" s="1"/>
      <c r="E3" s="1"/>
      <c r="F3" s="1"/>
      <c r="G3" s="67" t="s">
        <v>167</v>
      </c>
      <c r="H3" s="66"/>
      <c r="I3" s="104" t="s">
        <v>37</v>
      </c>
      <c r="K3" s="104" t="s">
        <v>38</v>
      </c>
      <c r="M3" s="2"/>
    </row>
    <row r="4" spans="2:13" ht="16.5" thickBot="1">
      <c r="B4" s="3" t="s">
        <v>1</v>
      </c>
      <c r="C4" s="4"/>
      <c r="D4" s="5"/>
      <c r="E4" s="1"/>
      <c r="F4" s="1"/>
      <c r="G4" s="102"/>
      <c r="H4" s="103"/>
      <c r="I4" s="7"/>
      <c r="K4" s="102"/>
      <c r="M4" s="1"/>
    </row>
    <row r="5" spans="2:13" ht="24.75" thickBot="1">
      <c r="B5" s="8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1" t="s">
        <v>10</v>
      </c>
      <c r="I5" s="9" t="s">
        <v>8</v>
      </c>
      <c r="J5" s="9" t="s">
        <v>19</v>
      </c>
      <c r="K5" s="10" t="s">
        <v>9</v>
      </c>
      <c r="L5" s="11" t="s">
        <v>11</v>
      </c>
      <c r="M5" s="12"/>
    </row>
    <row r="6" spans="2:13">
      <c r="B6" s="13" t="s">
        <v>28</v>
      </c>
      <c r="C6" s="14"/>
      <c r="D6" s="14"/>
      <c r="E6" s="14"/>
      <c r="F6" s="15"/>
      <c r="G6" s="16"/>
      <c r="H6" s="19"/>
      <c r="I6" s="17"/>
      <c r="J6" s="14"/>
      <c r="K6" s="18"/>
      <c r="L6" s="19"/>
      <c r="M6" s="20"/>
    </row>
    <row r="7" spans="2:13">
      <c r="B7" s="74" t="s">
        <v>29</v>
      </c>
      <c r="C7" s="68"/>
      <c r="D7" s="68"/>
      <c r="E7" s="68"/>
      <c r="F7" s="69"/>
      <c r="G7" s="70"/>
      <c r="H7" s="73"/>
      <c r="I7" s="71"/>
      <c r="J7" s="68"/>
      <c r="K7" s="72"/>
      <c r="L7" s="73"/>
      <c r="M7" s="20"/>
    </row>
    <row r="8" spans="2:13">
      <c r="B8" s="74" t="s">
        <v>30</v>
      </c>
      <c r="C8" s="68"/>
      <c r="D8" s="68"/>
      <c r="E8" s="68"/>
      <c r="F8" s="69"/>
      <c r="G8" s="70"/>
      <c r="H8" s="73"/>
      <c r="I8" s="71"/>
      <c r="J8" s="68"/>
      <c r="K8" s="72"/>
      <c r="L8" s="73"/>
      <c r="M8" s="20"/>
    </row>
    <row r="9" spans="2:13" ht="15" thickBot="1">
      <c r="B9" s="21"/>
      <c r="C9" s="22" t="s">
        <v>14</v>
      </c>
      <c r="D9" s="22"/>
      <c r="E9" s="22"/>
      <c r="F9" s="23">
        <v>0</v>
      </c>
      <c r="G9" s="70" t="s">
        <v>14</v>
      </c>
      <c r="H9" s="26" t="s">
        <v>14</v>
      </c>
      <c r="I9" s="24" t="s">
        <v>14</v>
      </c>
      <c r="J9" s="22" t="s">
        <v>14</v>
      </c>
      <c r="K9" s="25" t="s">
        <v>14</v>
      </c>
      <c r="L9" s="26" t="s">
        <v>14</v>
      </c>
      <c r="M9" s="20"/>
    </row>
    <row r="10" spans="2:13" ht="15" thickBot="1">
      <c r="B10" s="27" t="s">
        <v>12</v>
      </c>
      <c r="C10" s="28"/>
      <c r="D10" s="28"/>
      <c r="E10" s="29" t="s">
        <v>13</v>
      </c>
      <c r="F10" s="30">
        <v>0</v>
      </c>
      <c r="G10" s="29"/>
      <c r="H10" s="33">
        <v>0</v>
      </c>
      <c r="I10" s="31">
        <v>0</v>
      </c>
      <c r="J10" s="31"/>
      <c r="K10" s="32"/>
      <c r="L10" s="34"/>
      <c r="M10" s="35"/>
    </row>
    <row r="11" spans="2:13" ht="15" thickBot="1">
      <c r="B11" s="36"/>
      <c r="C11" s="37"/>
      <c r="D11" s="37"/>
      <c r="E11" s="37"/>
      <c r="F11" s="38" t="s">
        <v>14</v>
      </c>
      <c r="G11" s="39" t="s">
        <v>14</v>
      </c>
      <c r="H11" s="40" t="b">
        <v>1</v>
      </c>
      <c r="I11" s="40"/>
      <c r="J11" s="2"/>
      <c r="K11" s="41" t="s">
        <v>15</v>
      </c>
      <c r="L11" s="42">
        <v>0</v>
      </c>
      <c r="M11" s="43"/>
    </row>
    <row r="12" spans="2:13" ht="15" thickBot="1">
      <c r="B12" s="6"/>
      <c r="C12" s="44"/>
      <c r="D12" s="45"/>
      <c r="E12" s="45"/>
      <c r="F12" s="46"/>
      <c r="G12" s="46"/>
      <c r="H12" s="2"/>
      <c r="I12" s="2"/>
      <c r="J12" s="2"/>
      <c r="K12" s="6" t="s">
        <v>16</v>
      </c>
      <c r="L12" s="47">
        <v>0</v>
      </c>
      <c r="M12" s="48"/>
    </row>
    <row r="13" spans="2:13" ht="15" thickBot="1">
      <c r="C13" s="44"/>
      <c r="D13" s="45"/>
      <c r="H13" s="48"/>
      <c r="I13" s="48"/>
    </row>
    <row r="14" spans="2:13" ht="16.5" thickBot="1">
      <c r="B14" s="75" t="s">
        <v>36</v>
      </c>
      <c r="C14" s="44"/>
      <c r="D14" s="45"/>
      <c r="E14" s="45"/>
      <c r="F14" s="46"/>
      <c r="G14" s="46"/>
    </row>
    <row r="15" spans="2:13" ht="27" thickBot="1">
      <c r="B15" s="108" t="s">
        <v>1</v>
      </c>
      <c r="C15" s="57" t="s">
        <v>21</v>
      </c>
      <c r="D15" s="58" t="s">
        <v>17</v>
      </c>
      <c r="E15" s="59" t="s">
        <v>19</v>
      </c>
      <c r="F15" s="57" t="s">
        <v>17</v>
      </c>
      <c r="G15" s="85" t="s">
        <v>164</v>
      </c>
      <c r="H15" s="85" t="s">
        <v>165</v>
      </c>
      <c r="I15" s="85" t="s">
        <v>166</v>
      </c>
    </row>
    <row r="16" spans="2:13" ht="15" thickTop="1">
      <c r="B16" s="109" t="s">
        <v>25</v>
      </c>
      <c r="C16" s="105">
        <v>4</v>
      </c>
      <c r="D16" s="60" t="s">
        <v>6</v>
      </c>
      <c r="E16" s="61">
        <v>3000</v>
      </c>
      <c r="F16" s="87" t="str">
        <f t="shared" ref="F16:F25" si="0">VLOOKUP(E16,ConcreteDB,2,FALSE)</f>
        <v>CY</v>
      </c>
      <c r="G16" s="90">
        <v>0.65</v>
      </c>
      <c r="H16" s="91">
        <v>0.68250000000000011</v>
      </c>
      <c r="I16" s="92">
        <v>0.71500000000000008</v>
      </c>
    </row>
    <row r="17" spans="2:9">
      <c r="B17" s="110" t="s">
        <v>26</v>
      </c>
      <c r="C17" s="106">
        <v>4</v>
      </c>
      <c r="D17" s="62" t="s">
        <v>6</v>
      </c>
      <c r="E17" s="63">
        <v>3000</v>
      </c>
      <c r="F17" s="88" t="str">
        <f t="shared" si="0"/>
        <v>CY</v>
      </c>
      <c r="G17" s="93">
        <v>0.65</v>
      </c>
      <c r="H17" s="94">
        <v>0.68250000000000011</v>
      </c>
      <c r="I17" s="95">
        <v>0.71500000000000008</v>
      </c>
    </row>
    <row r="18" spans="2:9">
      <c r="B18" s="110" t="s">
        <v>27</v>
      </c>
      <c r="C18" s="106">
        <v>6</v>
      </c>
      <c r="D18" s="62" t="s">
        <v>6</v>
      </c>
      <c r="E18" s="63">
        <v>4000</v>
      </c>
      <c r="F18" s="88" t="str">
        <f t="shared" si="0"/>
        <v>CY</v>
      </c>
      <c r="G18" s="93">
        <v>0.85</v>
      </c>
      <c r="H18" s="94">
        <v>0.89249999999999996</v>
      </c>
      <c r="I18" s="95">
        <v>0.93500000000000005</v>
      </c>
    </row>
    <row r="19" spans="2:9">
      <c r="B19" s="110" t="s">
        <v>28</v>
      </c>
      <c r="C19" s="106">
        <v>4</v>
      </c>
      <c r="D19" s="62" t="s">
        <v>6</v>
      </c>
      <c r="E19" s="63">
        <v>3000</v>
      </c>
      <c r="F19" s="88" t="str">
        <f t="shared" si="0"/>
        <v>CY</v>
      </c>
      <c r="G19" s="93">
        <v>0.75</v>
      </c>
      <c r="H19" s="94">
        <v>0.78750000000000009</v>
      </c>
      <c r="I19" s="95">
        <v>0.82500000000000007</v>
      </c>
    </row>
    <row r="20" spans="2:9">
      <c r="B20" s="110" t="s">
        <v>29</v>
      </c>
      <c r="C20" s="106">
        <v>4</v>
      </c>
      <c r="D20" s="62" t="s">
        <v>6</v>
      </c>
      <c r="E20" s="63">
        <v>4000</v>
      </c>
      <c r="F20" s="88" t="str">
        <f t="shared" si="0"/>
        <v>CY</v>
      </c>
      <c r="G20" s="93">
        <v>0.75</v>
      </c>
      <c r="H20" s="94">
        <v>0.78750000000000009</v>
      </c>
      <c r="I20" s="95">
        <v>0.82500000000000007</v>
      </c>
    </row>
    <row r="21" spans="2:9">
      <c r="B21" s="110" t="s">
        <v>30</v>
      </c>
      <c r="C21" s="106">
        <v>4</v>
      </c>
      <c r="D21" s="62" t="s">
        <v>6</v>
      </c>
      <c r="E21" s="63">
        <v>4500</v>
      </c>
      <c r="F21" s="88" t="str">
        <f t="shared" si="0"/>
        <v>CY</v>
      </c>
      <c r="G21" s="93">
        <v>0.8</v>
      </c>
      <c r="H21" s="94">
        <v>0.84000000000000008</v>
      </c>
      <c r="I21" s="95">
        <v>0.88000000000000012</v>
      </c>
    </row>
    <row r="22" spans="2:9">
      <c r="B22" s="110" t="s">
        <v>31</v>
      </c>
      <c r="C22" s="106">
        <v>4</v>
      </c>
      <c r="D22" s="62" t="s">
        <v>6</v>
      </c>
      <c r="E22" s="63">
        <v>4000</v>
      </c>
      <c r="F22" s="88" t="str">
        <f t="shared" si="0"/>
        <v>CY</v>
      </c>
      <c r="G22" s="93">
        <v>0.75</v>
      </c>
      <c r="H22" s="94">
        <v>0.78750000000000009</v>
      </c>
      <c r="I22" s="95">
        <v>0.82500000000000007</v>
      </c>
    </row>
    <row r="23" spans="2:9">
      <c r="B23" s="110" t="s">
        <v>32</v>
      </c>
      <c r="C23" s="106">
        <v>4</v>
      </c>
      <c r="D23" s="62" t="s">
        <v>6</v>
      </c>
      <c r="E23" s="63">
        <v>4000</v>
      </c>
      <c r="F23" s="88" t="str">
        <f t="shared" si="0"/>
        <v>CY</v>
      </c>
      <c r="G23" s="93">
        <v>0.7</v>
      </c>
      <c r="H23" s="94">
        <v>0.73499999999999999</v>
      </c>
      <c r="I23" s="95">
        <v>0.77</v>
      </c>
    </row>
    <row r="24" spans="2:9">
      <c r="B24" s="110" t="s">
        <v>33</v>
      </c>
      <c r="C24" s="106">
        <v>4</v>
      </c>
      <c r="D24" s="62" t="s">
        <v>6</v>
      </c>
      <c r="E24" s="63" t="s">
        <v>20</v>
      </c>
      <c r="F24" s="88" t="str">
        <f t="shared" si="0"/>
        <v>CY</v>
      </c>
      <c r="G24" s="93">
        <v>0.7</v>
      </c>
      <c r="H24" s="94">
        <v>0.73499999999999999</v>
      </c>
      <c r="I24" s="95">
        <v>0.77</v>
      </c>
    </row>
    <row r="25" spans="2:9">
      <c r="B25" s="110" t="s">
        <v>34</v>
      </c>
      <c r="C25" s="106">
        <v>4</v>
      </c>
      <c r="D25" s="62" t="s">
        <v>6</v>
      </c>
      <c r="E25" s="63">
        <v>3000</v>
      </c>
      <c r="F25" s="88" t="str">
        <f t="shared" si="0"/>
        <v>CY</v>
      </c>
      <c r="G25" s="93">
        <v>0.85</v>
      </c>
      <c r="H25" s="94">
        <v>0.89249999999999996</v>
      </c>
      <c r="I25" s="95">
        <v>0.93500000000000005</v>
      </c>
    </row>
    <row r="26" spans="2:9" ht="15" thickBot="1">
      <c r="B26" s="111"/>
      <c r="C26" s="107"/>
      <c r="D26" s="50"/>
      <c r="E26" s="64"/>
      <c r="F26" s="89"/>
      <c r="G26" s="83"/>
      <c r="H26" s="84"/>
      <c r="I26" s="65"/>
    </row>
    <row r="27" spans="2:9" ht="15" thickTop="1"/>
    <row r="28" spans="2:9" ht="15" thickBot="1"/>
    <row r="29" spans="2:9" ht="16.5" thickBot="1">
      <c r="B29" s="75" t="s">
        <v>18</v>
      </c>
    </row>
    <row r="30" spans="2:9" ht="18" customHeight="1" thickBot="1">
      <c r="B30" s="80" t="s">
        <v>35</v>
      </c>
      <c r="C30" s="81" t="s">
        <v>17</v>
      </c>
      <c r="D30" s="86" t="s">
        <v>22</v>
      </c>
      <c r="E30" s="86" t="s">
        <v>23</v>
      </c>
      <c r="F30" s="86" t="s">
        <v>24</v>
      </c>
    </row>
    <row r="31" spans="2:9">
      <c r="B31" s="51">
        <v>2500</v>
      </c>
      <c r="C31" s="76" t="s">
        <v>8</v>
      </c>
      <c r="D31" s="96">
        <v>87.7</v>
      </c>
      <c r="E31" s="97">
        <v>92.09</v>
      </c>
      <c r="F31" s="97">
        <v>96.48</v>
      </c>
    </row>
    <row r="32" spans="2:9">
      <c r="B32" s="52">
        <v>3000</v>
      </c>
      <c r="C32" s="77" t="s">
        <v>8</v>
      </c>
      <c r="D32" s="98">
        <v>92.240000000000009</v>
      </c>
      <c r="E32" s="99">
        <v>96.86</v>
      </c>
      <c r="F32" s="99">
        <v>101.47</v>
      </c>
    </row>
    <row r="33" spans="2:6">
      <c r="B33" s="52">
        <v>3500</v>
      </c>
      <c r="C33" s="77" t="s">
        <v>8</v>
      </c>
      <c r="D33" s="98">
        <v>95.26</v>
      </c>
      <c r="E33" s="99">
        <v>100.03</v>
      </c>
      <c r="F33" s="99">
        <v>104.79</v>
      </c>
    </row>
    <row r="34" spans="2:6">
      <c r="B34" s="52">
        <v>4000</v>
      </c>
      <c r="C34" s="77" t="s">
        <v>8</v>
      </c>
      <c r="D34" s="98">
        <v>98.28</v>
      </c>
      <c r="E34" s="99">
        <v>103.2</v>
      </c>
      <c r="F34" s="99">
        <v>108.11</v>
      </c>
    </row>
    <row r="35" spans="2:6">
      <c r="B35" s="52">
        <v>4500</v>
      </c>
      <c r="C35" s="77" t="s">
        <v>8</v>
      </c>
      <c r="D35" s="98">
        <v>104.33</v>
      </c>
      <c r="E35" s="99">
        <v>109.55000000000001</v>
      </c>
      <c r="F35" s="99">
        <v>114.77000000000001</v>
      </c>
    </row>
    <row r="36" spans="2:6">
      <c r="B36" s="52">
        <v>5000</v>
      </c>
      <c r="C36" s="77" t="s">
        <v>8</v>
      </c>
      <c r="D36" s="98">
        <v>107.36</v>
      </c>
      <c r="E36" s="99">
        <v>112.73</v>
      </c>
      <c r="F36" s="99">
        <v>118.10000000000001</v>
      </c>
    </row>
    <row r="37" spans="2:6">
      <c r="B37" s="53" t="s">
        <v>20</v>
      </c>
      <c r="C37" s="78" t="s">
        <v>8</v>
      </c>
      <c r="D37" s="98">
        <v>8.4</v>
      </c>
      <c r="E37" s="99">
        <v>8.82</v>
      </c>
      <c r="F37" s="99">
        <v>9.24</v>
      </c>
    </row>
    <row r="38" spans="2:6" ht="15" thickBot="1">
      <c r="B38" s="54"/>
      <c r="C38" s="79"/>
      <c r="D38" s="100"/>
      <c r="E38" s="101"/>
      <c r="F38" s="101"/>
    </row>
    <row r="39" spans="2:6">
      <c r="B39" s="55"/>
      <c r="C39" s="55"/>
      <c r="D39" s="56"/>
      <c r="E39" s="56"/>
      <c r="F39" s="49"/>
    </row>
    <row r="40" spans="2:6">
      <c r="B40" s="56"/>
      <c r="C40" s="56"/>
      <c r="D40" s="56"/>
      <c r="E40" s="49"/>
    </row>
  </sheetData>
  <dataValidations count="5">
    <dataValidation type="list" allowBlank="1" showInputMessage="1" showErrorMessage="1" sqref="E16:E26">
      <formula1>ConcreteBag</formula1>
    </dataValidation>
    <dataValidation type="list" allowBlank="1" showInputMessage="1" showErrorMessage="1" sqref="B6:B9">
      <formula1>FlatworkLaborList</formula1>
    </dataValidation>
    <dataValidation type="list" allowBlank="1" showInputMessage="1" showErrorMessage="1" sqref="J4">
      <formula1>ConcreteMatSuppliers</formula1>
    </dataValidation>
    <dataValidation type="list" allowBlank="1" showInputMessage="1" showErrorMessage="1" sqref="G4">
      <formula1>FlatworkLaborSubs</formula1>
    </dataValidation>
    <dataValidation type="list" allowBlank="1" showInputMessage="1" showErrorMessage="1" sqref="J6:J9">
      <formula1>PSIList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B1:M40"/>
  <sheetViews>
    <sheetView zoomScaleNormal="100" workbookViewId="0">
      <selection activeCell="N8" sqref="N8"/>
    </sheetView>
  </sheetViews>
  <sheetFormatPr defaultRowHeight="14.25"/>
  <cols>
    <col min="1" max="1" width="1.25" customWidth="1"/>
    <col min="2" max="2" width="24.25" customWidth="1"/>
    <col min="12" max="12" width="10" customWidth="1"/>
  </cols>
  <sheetData>
    <row r="1" spans="2:13" ht="12" customHeight="1"/>
    <row r="2" spans="2:13" ht="12" customHeight="1" thickBot="1"/>
    <row r="3" spans="2:13" ht="16.5" thickBot="1">
      <c r="B3" s="82" t="s">
        <v>0</v>
      </c>
      <c r="C3" s="1"/>
      <c r="D3" s="1"/>
      <c r="E3" s="1"/>
      <c r="F3" s="1"/>
      <c r="G3" s="67" t="s">
        <v>167</v>
      </c>
      <c r="H3" s="66"/>
      <c r="I3" s="104" t="s">
        <v>37</v>
      </c>
      <c r="K3" s="104" t="s">
        <v>38</v>
      </c>
      <c r="M3" s="2"/>
    </row>
    <row r="4" spans="2:13" ht="16.5" thickBot="1">
      <c r="B4" s="3" t="s">
        <v>1</v>
      </c>
      <c r="C4" s="4"/>
      <c r="D4" s="5"/>
      <c r="E4" s="1"/>
      <c r="F4" s="1"/>
      <c r="G4" s="102" t="s">
        <v>164</v>
      </c>
      <c r="H4" s="103"/>
      <c r="I4" s="7">
        <v>0.1</v>
      </c>
      <c r="K4" s="102" t="s">
        <v>22</v>
      </c>
      <c r="M4" s="1"/>
    </row>
    <row r="5" spans="2:13" ht="24.75" thickBot="1">
      <c r="B5" s="8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1" t="s">
        <v>10</v>
      </c>
      <c r="I5" s="9" t="s">
        <v>8</v>
      </c>
      <c r="J5" s="9" t="s">
        <v>19</v>
      </c>
      <c r="K5" s="10" t="s">
        <v>9</v>
      </c>
      <c r="L5" s="11" t="s">
        <v>11</v>
      </c>
      <c r="M5" s="12"/>
    </row>
    <row r="6" spans="2:13">
      <c r="B6" s="13" t="s">
        <v>28</v>
      </c>
      <c r="C6" s="14">
        <f>IF(ISERROR(VLOOKUP(B6,FlatworkLaborDB,2,FALSE)),"",VLOOKUP(B6,FlatworkLaborDB,2,FALSE))</f>
        <v>4</v>
      </c>
      <c r="D6" s="14">
        <v>24</v>
      </c>
      <c r="E6" s="14">
        <v>28</v>
      </c>
      <c r="F6" s="15">
        <f>IF(ISERROR(D6*E6),"",D6*E6)</f>
        <v>672</v>
      </c>
      <c r="G6" s="16">
        <f>IF(ISERROR(VLOOKUP(B6,FlatworkLaborDB,MATCH(FlatworkLaborTrade,FlatworkLaborTrades,0)+5,FALSE)),"",VLOOKUP(B6,FlatworkLaborDB,MATCH(FlatworkLaborTrade,FlatworkLaborTrades,0)+5,FALSE))</f>
        <v>0.75</v>
      </c>
      <c r="H6" s="19">
        <f>IF(ISERROR(F6*G6),"",F6*G6)</f>
        <v>504</v>
      </c>
      <c r="I6" s="17">
        <f>IF(ISERROR(ROUNDUP((C6/12*D6*E6)/27*(1+FlatworkConcreteWaste)*4,0)/4),"",ROUNDUP((C6/12*D6*E6)/27*(1+FlatworkConcreteWaste)*4,0)/4)</f>
        <v>9.25</v>
      </c>
      <c r="J6" s="14">
        <f>IF(ISERROR(VLOOKUP(B6,FlatworkLaborDB,4,FALSE)),"",(VLOOKUP(B6,FlatworkLaborDB,4,FALSE)))</f>
        <v>3000</v>
      </c>
      <c r="K6" s="18">
        <f>IF(ISERROR(VLOOKUP(J6,ConcreteDB,MATCH(FlatworkConcreteSupplier,ConcreteMatSuppliers,0)+2,FALSE)),"",VLOOKUP(J6,ConcreteDB,MATCH(FlatworkConcreteSupplier,ConcreteMatSuppliers,0)+2,FALSE))</f>
        <v>92.240000000000009</v>
      </c>
      <c r="L6" s="19">
        <f>IF(ISERROR(I6*K6),"",I6*K6)</f>
        <v>853.22</v>
      </c>
      <c r="M6" s="20"/>
    </row>
    <row r="7" spans="2:13">
      <c r="B7" s="74" t="s">
        <v>29</v>
      </c>
      <c r="C7" s="68">
        <f>IF(B7="","",VLOOKUP(B7,FlatworkLaborDB,2,FALSE))</f>
        <v>4</v>
      </c>
      <c r="D7" s="68">
        <v>20</v>
      </c>
      <c r="E7" s="68">
        <v>30</v>
      </c>
      <c r="F7" s="69">
        <f>IF(ISERROR(D7*E7),"",D7*E7)</f>
        <v>600</v>
      </c>
      <c r="G7" s="70">
        <f>IF(ISERROR(VLOOKUP(B7,FlatworkLaborDB,MATCH(FlatworkLaborTrade,FlatworkLaborTrades,0)+5,FALSE)),"",VLOOKUP(B7,FlatworkLaborDB,MATCH(FlatworkLaborTrade,FlatworkLaborTrades,0)+5,FALSE))</f>
        <v>0.75</v>
      </c>
      <c r="H7" s="73">
        <f>IF(ISERROR(F7*G7),"",F7*G7)</f>
        <v>450</v>
      </c>
      <c r="I7" s="71">
        <f>IF(ISERROR(ROUNDUP((C7/12*D7*E7)/27*(1+FlatworkConcreteWaste)*4,0)/4),"",ROUNDUP((C7/12*D7*E7)/27*(1+FlatworkConcreteWaste)*4,0)/4)</f>
        <v>8.25</v>
      </c>
      <c r="J7" s="68">
        <f>IF(ISERROR(VLOOKUP(B7,FlatworkLaborDB,4,FALSE)),"",(VLOOKUP(B7,FlatworkLaborDB,4,FALSE)))</f>
        <v>4000</v>
      </c>
      <c r="K7" s="72">
        <f>IF(ISERROR(VLOOKUP(J7,ConcreteDB,MATCH(FlatworkConcreteSupplier,ConcreteMatSuppliers,0)+2,FALSE)),"",VLOOKUP(J7,ConcreteDB,MATCH(FlatworkConcreteSupplier,ConcreteMatSuppliers,0)+2,FALSE))</f>
        <v>98.28</v>
      </c>
      <c r="L7" s="73">
        <f>IF(ISERROR(I7*K7),"",I7*K7)</f>
        <v>810.81000000000006</v>
      </c>
      <c r="M7" s="20"/>
    </row>
    <row r="8" spans="2:13">
      <c r="B8" s="74" t="s">
        <v>30</v>
      </c>
      <c r="C8" s="68">
        <f>IF(B8="","",VLOOKUP(B8,FlatworkLaborDB,2,FALSE))</f>
        <v>4</v>
      </c>
      <c r="D8" s="68">
        <v>4</v>
      </c>
      <c r="E8" s="68">
        <v>20</v>
      </c>
      <c r="F8" s="69">
        <f>IF(ISERROR(D8*E8),"",D8*E8)</f>
        <v>80</v>
      </c>
      <c r="G8" s="70">
        <f>IF(ISERROR(VLOOKUP(B8,FlatworkLaborDB,MATCH(FlatworkLaborTrade,FlatworkLaborTrades,0)+5,FALSE)),"",VLOOKUP(B8,FlatworkLaborDB,MATCH(FlatworkLaborTrade,FlatworkLaborTrades,0)+5,FALSE))</f>
        <v>0.8</v>
      </c>
      <c r="H8" s="73">
        <f>IF(ISERROR(F8*G8),"",F8*G8)</f>
        <v>64</v>
      </c>
      <c r="I8" s="71">
        <f>IF(ISERROR(ROUNDUP((C8/12*D8*E8)/27*(1+FlatworkConcreteWaste)*4,0)/4),"",ROUNDUP((C8/12*D8*E8)/27*(1+FlatworkConcreteWaste)*4,0)/4)</f>
        <v>1.25</v>
      </c>
      <c r="J8" s="68">
        <f>IF(ISERROR(VLOOKUP(B8,FlatworkLaborDB,4,FALSE)),"",(VLOOKUP(B8,FlatworkLaborDB,4,FALSE)))</f>
        <v>4500</v>
      </c>
      <c r="K8" s="72">
        <f>IF(ISERROR(VLOOKUP(J8,ConcreteDB,MATCH(FlatworkConcreteSupplier,ConcreteMatSuppliers,0)+2,FALSE)),"",VLOOKUP(J8,ConcreteDB,MATCH(FlatworkConcreteSupplier,ConcreteMatSuppliers,0)+2,FALSE))</f>
        <v>104.33</v>
      </c>
      <c r="L8" s="73">
        <f>IF(ISERROR(I8*K8),"",I8*K8)</f>
        <v>130.41249999999999</v>
      </c>
      <c r="M8" s="20"/>
    </row>
    <row r="9" spans="2:13" ht="15" thickBot="1">
      <c r="B9" s="21"/>
      <c r="C9" s="22" t="str">
        <f>IF(B9="","",VLOOKUP(B9,FlatworkLaborDB,2,FALSE))</f>
        <v/>
      </c>
      <c r="D9" s="22"/>
      <c r="E9" s="22"/>
      <c r="F9" s="23">
        <f>IF(ISERROR(D9*E9),"",D9*E9)</f>
        <v>0</v>
      </c>
      <c r="G9" s="70" t="str">
        <f>IF(ISERROR(VLOOKUP(B9,FlatworkLaborDB,MATCH(FlatworkLaborTrade,FlatworkLaborTrades,0)+5,FALSE)),"",VLOOKUP(B9,FlatworkLaborDB,MATCH(FlatworkLaborTrade,FlatworkLaborTrades,0)+5,FALSE))</f>
        <v/>
      </c>
      <c r="H9" s="26" t="str">
        <f>IF(ISERROR(F9*G9),"",F9*G9)</f>
        <v/>
      </c>
      <c r="I9" s="24" t="str">
        <f>IF(ISERROR(ROUNDUP((C9/12*D9*E9)/27*4,0)/4),"",ROUNDUP((C9/12*D9*E9)/27*4,0)/4)</f>
        <v/>
      </c>
      <c r="J9" s="22" t="str">
        <f>IF(ISERROR(VLOOKUP(B9,FlatworkLaborDB,4,FALSE)),"",(VLOOKUP(B9,FlatworkLaborDB,4,FALSE)))</f>
        <v/>
      </c>
      <c r="K9" s="25" t="str">
        <f>IF(ISBLANK(B9),"",VLOOKUP(J9,ConcreteDB,MATCH(FlatworkConcreteSupplier,ConcreteMatSuppliers,0)+2,FALSE))</f>
        <v/>
      </c>
      <c r="L9" s="26" t="str">
        <f>IF(ISERROR(I9*K9),"",I9*K9)</f>
        <v/>
      </c>
      <c r="M9" s="20"/>
    </row>
    <row r="10" spans="2:13" ht="15" thickBot="1">
      <c r="B10" s="27" t="s">
        <v>12</v>
      </c>
      <c r="C10" s="28"/>
      <c r="D10" s="28"/>
      <c r="E10" s="29" t="s">
        <v>13</v>
      </c>
      <c r="F10" s="30">
        <v>0</v>
      </c>
      <c r="G10" s="29"/>
      <c r="H10" s="33">
        <f>SUM(H6:H9)</f>
        <v>1018</v>
      </c>
      <c r="I10" s="31">
        <f>SUM(I6:I9)</f>
        <v>18.75</v>
      </c>
      <c r="J10" s="31"/>
      <c r="K10" s="32"/>
      <c r="L10" s="34">
        <f>SUM(L6:L9)</f>
        <v>1794.4425000000001</v>
      </c>
      <c r="M10" s="35"/>
    </row>
    <row r="11" spans="2:13" ht="15" thickBot="1">
      <c r="B11" s="36"/>
      <c r="C11" s="37"/>
      <c r="D11" s="37"/>
      <c r="E11" s="37"/>
      <c r="F11" s="38" t="s">
        <v>14</v>
      </c>
      <c r="G11" s="39" t="s">
        <v>14</v>
      </c>
      <c r="H11" s="40" t="b">
        <v>1</v>
      </c>
      <c r="I11" s="40"/>
      <c r="J11" s="2"/>
      <c r="K11" s="41" t="s">
        <v>15</v>
      </c>
      <c r="L11" s="42">
        <f>L10*Sales_Tax</f>
        <v>116.63876250000001</v>
      </c>
      <c r="M11" s="43"/>
    </row>
    <row r="12" spans="2:13" ht="15" thickBot="1">
      <c r="B12" s="6"/>
      <c r="C12" s="44"/>
      <c r="D12" s="45"/>
      <c r="E12" s="45"/>
      <c r="F12" s="46"/>
      <c r="G12" s="46"/>
      <c r="H12" s="2"/>
      <c r="I12" s="2"/>
      <c r="J12" s="2"/>
      <c r="K12" s="6" t="s">
        <v>16</v>
      </c>
      <c r="L12" s="47">
        <f>SUM(L10:L11)+H10</f>
        <v>2929.0812624999999</v>
      </c>
      <c r="M12" s="48"/>
    </row>
    <row r="13" spans="2:13" ht="15" thickBot="1">
      <c r="C13" s="44"/>
      <c r="D13" s="45"/>
      <c r="H13" s="48"/>
      <c r="I13" s="48"/>
    </row>
    <row r="14" spans="2:13" ht="16.5" thickBot="1">
      <c r="B14" s="75" t="s">
        <v>36</v>
      </c>
      <c r="C14" s="44"/>
      <c r="D14" s="45"/>
      <c r="E14" s="45"/>
      <c r="F14" s="46"/>
      <c r="G14" s="46"/>
    </row>
    <row r="15" spans="2:13" ht="27" thickBot="1">
      <c r="B15" s="108" t="s">
        <v>1</v>
      </c>
      <c r="C15" s="57" t="s">
        <v>21</v>
      </c>
      <c r="D15" s="58" t="s">
        <v>17</v>
      </c>
      <c r="E15" s="59" t="s">
        <v>19</v>
      </c>
      <c r="F15" s="57" t="s">
        <v>17</v>
      </c>
      <c r="G15" s="85" t="s">
        <v>164</v>
      </c>
      <c r="H15" s="85" t="s">
        <v>165</v>
      </c>
      <c r="I15" s="85" t="s">
        <v>166</v>
      </c>
    </row>
    <row r="16" spans="2:13" ht="15" thickTop="1">
      <c r="B16" s="109" t="s">
        <v>25</v>
      </c>
      <c r="C16" s="105">
        <v>4</v>
      </c>
      <c r="D16" s="60" t="s">
        <v>6</v>
      </c>
      <c r="E16" s="61">
        <v>3000</v>
      </c>
      <c r="F16" s="87" t="str">
        <f t="shared" ref="F16:F25" si="0">VLOOKUP(E16,ConcreteDB,2,FALSE)</f>
        <v>CY</v>
      </c>
      <c r="G16" s="90">
        <v>0.65</v>
      </c>
      <c r="H16" s="91">
        <v>0.68250000000000011</v>
      </c>
      <c r="I16" s="92">
        <v>0.71500000000000008</v>
      </c>
    </row>
    <row r="17" spans="2:9">
      <c r="B17" s="110" t="s">
        <v>26</v>
      </c>
      <c r="C17" s="106">
        <v>4</v>
      </c>
      <c r="D17" s="62" t="s">
        <v>6</v>
      </c>
      <c r="E17" s="63">
        <v>3000</v>
      </c>
      <c r="F17" s="88" t="str">
        <f t="shared" si="0"/>
        <v>CY</v>
      </c>
      <c r="G17" s="93">
        <v>0.65</v>
      </c>
      <c r="H17" s="94">
        <v>0.68250000000000011</v>
      </c>
      <c r="I17" s="95">
        <v>0.71500000000000008</v>
      </c>
    </row>
    <row r="18" spans="2:9">
      <c r="B18" s="110" t="s">
        <v>27</v>
      </c>
      <c r="C18" s="106">
        <v>6</v>
      </c>
      <c r="D18" s="62" t="s">
        <v>6</v>
      </c>
      <c r="E18" s="63">
        <v>4000</v>
      </c>
      <c r="F18" s="88" t="str">
        <f t="shared" si="0"/>
        <v>CY</v>
      </c>
      <c r="G18" s="93">
        <v>0.85</v>
      </c>
      <c r="H18" s="94">
        <v>0.89249999999999996</v>
      </c>
      <c r="I18" s="95">
        <v>0.93500000000000005</v>
      </c>
    </row>
    <row r="19" spans="2:9">
      <c r="B19" s="110" t="s">
        <v>28</v>
      </c>
      <c r="C19" s="106">
        <v>4</v>
      </c>
      <c r="D19" s="62" t="s">
        <v>6</v>
      </c>
      <c r="E19" s="63">
        <v>3000</v>
      </c>
      <c r="F19" s="88" t="str">
        <f t="shared" si="0"/>
        <v>CY</v>
      </c>
      <c r="G19" s="93">
        <v>0.75</v>
      </c>
      <c r="H19" s="94">
        <v>0.78750000000000009</v>
      </c>
      <c r="I19" s="95">
        <v>0.82500000000000007</v>
      </c>
    </row>
    <row r="20" spans="2:9">
      <c r="B20" s="110" t="s">
        <v>29</v>
      </c>
      <c r="C20" s="106">
        <v>4</v>
      </c>
      <c r="D20" s="62" t="s">
        <v>6</v>
      </c>
      <c r="E20" s="63">
        <v>4000</v>
      </c>
      <c r="F20" s="88" t="str">
        <f t="shared" si="0"/>
        <v>CY</v>
      </c>
      <c r="G20" s="93">
        <v>0.75</v>
      </c>
      <c r="H20" s="94">
        <v>0.78750000000000009</v>
      </c>
      <c r="I20" s="95">
        <v>0.82500000000000007</v>
      </c>
    </row>
    <row r="21" spans="2:9">
      <c r="B21" s="110" t="s">
        <v>30</v>
      </c>
      <c r="C21" s="106">
        <v>4</v>
      </c>
      <c r="D21" s="62" t="s">
        <v>6</v>
      </c>
      <c r="E21" s="63">
        <v>4500</v>
      </c>
      <c r="F21" s="88" t="str">
        <f t="shared" si="0"/>
        <v>CY</v>
      </c>
      <c r="G21" s="93">
        <v>0.8</v>
      </c>
      <c r="H21" s="94">
        <v>0.84000000000000008</v>
      </c>
      <c r="I21" s="95">
        <v>0.88000000000000012</v>
      </c>
    </row>
    <row r="22" spans="2:9">
      <c r="B22" s="110" t="s">
        <v>31</v>
      </c>
      <c r="C22" s="106">
        <v>4</v>
      </c>
      <c r="D22" s="62" t="s">
        <v>6</v>
      </c>
      <c r="E22" s="63">
        <v>4000</v>
      </c>
      <c r="F22" s="88" t="str">
        <f t="shared" si="0"/>
        <v>CY</v>
      </c>
      <c r="G22" s="93">
        <v>0.75</v>
      </c>
      <c r="H22" s="94">
        <v>0.78750000000000009</v>
      </c>
      <c r="I22" s="95">
        <v>0.82500000000000007</v>
      </c>
    </row>
    <row r="23" spans="2:9">
      <c r="B23" s="110" t="s">
        <v>32</v>
      </c>
      <c r="C23" s="106">
        <v>4</v>
      </c>
      <c r="D23" s="62" t="s">
        <v>6</v>
      </c>
      <c r="E23" s="63">
        <v>4000</v>
      </c>
      <c r="F23" s="88" t="str">
        <f t="shared" si="0"/>
        <v>CY</v>
      </c>
      <c r="G23" s="93">
        <v>0.7</v>
      </c>
      <c r="H23" s="94">
        <v>0.73499999999999999</v>
      </c>
      <c r="I23" s="95">
        <v>0.77</v>
      </c>
    </row>
    <row r="24" spans="2:9">
      <c r="B24" s="110" t="s">
        <v>33</v>
      </c>
      <c r="C24" s="106">
        <v>4</v>
      </c>
      <c r="D24" s="62" t="s">
        <v>6</v>
      </c>
      <c r="E24" s="63" t="s">
        <v>20</v>
      </c>
      <c r="F24" s="88" t="str">
        <f t="shared" si="0"/>
        <v>CY</v>
      </c>
      <c r="G24" s="93">
        <v>0.7</v>
      </c>
      <c r="H24" s="94">
        <v>0.73499999999999999</v>
      </c>
      <c r="I24" s="95">
        <v>0.77</v>
      </c>
    </row>
    <row r="25" spans="2:9">
      <c r="B25" s="110" t="s">
        <v>34</v>
      </c>
      <c r="C25" s="106">
        <v>4</v>
      </c>
      <c r="D25" s="62" t="s">
        <v>6</v>
      </c>
      <c r="E25" s="63">
        <v>3000</v>
      </c>
      <c r="F25" s="88" t="str">
        <f t="shared" si="0"/>
        <v>CY</v>
      </c>
      <c r="G25" s="93">
        <v>0.85</v>
      </c>
      <c r="H25" s="94">
        <v>0.89249999999999996</v>
      </c>
      <c r="I25" s="95">
        <v>0.93500000000000005</v>
      </c>
    </row>
    <row r="26" spans="2:9" ht="15" thickBot="1">
      <c r="B26" s="111"/>
      <c r="C26" s="107"/>
      <c r="D26" s="50"/>
      <c r="E26" s="64"/>
      <c r="F26" s="89"/>
      <c r="G26" s="83"/>
      <c r="H26" s="84"/>
      <c r="I26" s="65"/>
    </row>
    <row r="27" spans="2:9" ht="15" thickTop="1"/>
    <row r="28" spans="2:9" ht="15" thickBot="1"/>
    <row r="29" spans="2:9" ht="16.5" thickBot="1">
      <c r="B29" s="75" t="s">
        <v>18</v>
      </c>
    </row>
    <row r="30" spans="2:9" ht="18" customHeight="1" thickBot="1">
      <c r="B30" s="112" t="s">
        <v>35</v>
      </c>
      <c r="C30" s="113" t="s">
        <v>17</v>
      </c>
      <c r="D30" s="114" t="s">
        <v>22</v>
      </c>
      <c r="E30" s="114" t="s">
        <v>23</v>
      </c>
      <c r="F30" s="114" t="s">
        <v>24</v>
      </c>
    </row>
    <row r="31" spans="2:9">
      <c r="B31" s="121">
        <v>2500</v>
      </c>
      <c r="C31" s="118" t="s">
        <v>8</v>
      </c>
      <c r="D31" s="116">
        <v>87.7</v>
      </c>
      <c r="E31" s="116">
        <v>92.09</v>
      </c>
      <c r="F31" s="97">
        <v>96.48</v>
      </c>
    </row>
    <row r="32" spans="2:9">
      <c r="B32" s="122">
        <v>3000</v>
      </c>
      <c r="C32" s="119" t="s">
        <v>8</v>
      </c>
      <c r="D32" s="115">
        <v>92.240000000000009</v>
      </c>
      <c r="E32" s="115">
        <v>96.86</v>
      </c>
      <c r="F32" s="99">
        <v>101.47</v>
      </c>
    </row>
    <row r="33" spans="2:6">
      <c r="B33" s="122">
        <v>3500</v>
      </c>
      <c r="C33" s="119" t="s">
        <v>8</v>
      </c>
      <c r="D33" s="115">
        <v>95.26</v>
      </c>
      <c r="E33" s="115">
        <v>100.03</v>
      </c>
      <c r="F33" s="99">
        <v>104.79</v>
      </c>
    </row>
    <row r="34" spans="2:6">
      <c r="B34" s="122">
        <v>4000</v>
      </c>
      <c r="C34" s="119" t="s">
        <v>8</v>
      </c>
      <c r="D34" s="115">
        <v>98.28</v>
      </c>
      <c r="E34" s="115">
        <v>103.2</v>
      </c>
      <c r="F34" s="99">
        <v>108.11</v>
      </c>
    </row>
    <row r="35" spans="2:6">
      <c r="B35" s="122">
        <v>4500</v>
      </c>
      <c r="C35" s="119" t="s">
        <v>8</v>
      </c>
      <c r="D35" s="115">
        <v>104.33</v>
      </c>
      <c r="E35" s="115">
        <v>109.55000000000001</v>
      </c>
      <c r="F35" s="99">
        <v>114.77000000000001</v>
      </c>
    </row>
    <row r="36" spans="2:6">
      <c r="B36" s="122">
        <v>5000</v>
      </c>
      <c r="C36" s="119" t="s">
        <v>8</v>
      </c>
      <c r="D36" s="115">
        <v>107.36</v>
      </c>
      <c r="E36" s="115">
        <v>112.73</v>
      </c>
      <c r="F36" s="99">
        <v>118.10000000000001</v>
      </c>
    </row>
    <row r="37" spans="2:6">
      <c r="B37" s="122" t="s">
        <v>20</v>
      </c>
      <c r="C37" s="119" t="s">
        <v>8</v>
      </c>
      <c r="D37" s="115">
        <v>8.4</v>
      </c>
      <c r="E37" s="115">
        <v>8.82</v>
      </c>
      <c r="F37" s="99">
        <v>9.24</v>
      </c>
    </row>
    <row r="38" spans="2:6" ht="15" thickBot="1">
      <c r="B38" s="123"/>
      <c r="C38" s="120"/>
      <c r="D38" s="117"/>
      <c r="E38" s="117"/>
      <c r="F38" s="101"/>
    </row>
    <row r="39" spans="2:6">
      <c r="B39" s="55"/>
      <c r="C39" s="55"/>
      <c r="D39" s="56"/>
      <c r="E39" s="56"/>
      <c r="F39" s="49"/>
    </row>
    <row r="40" spans="2:6">
      <c r="B40" s="56"/>
      <c r="C40" s="56"/>
      <c r="D40" s="56"/>
      <c r="E40" s="49"/>
    </row>
  </sheetData>
  <dataValidations count="5">
    <dataValidation type="list" allowBlank="1" showInputMessage="1" showErrorMessage="1" sqref="K4">
      <formula1>ConcreteMatSuppliers</formula1>
    </dataValidation>
    <dataValidation type="list" allowBlank="1" showInputMessage="1" showErrorMessage="1" sqref="J6:J9">
      <formula1>PSIList</formula1>
    </dataValidation>
    <dataValidation type="list" allowBlank="1" showInputMessage="1" showErrorMessage="1" sqref="G4">
      <formula1>FlatworkLaborTrades</formula1>
    </dataValidation>
    <dataValidation type="list" allowBlank="1" showInputMessage="1" showErrorMessage="1" sqref="B6:B9">
      <formula1>FlatworkLaborList</formula1>
    </dataValidation>
    <dataValidation type="list" allowBlank="1" showInputMessage="1" showErrorMessage="1" sqref="E16:E26">
      <formula1>ConcreteBag</formula1>
    </dataValidation>
  </dataValidations>
  <pageMargins left="0.7" right="0.7" top="0.75" bottom="0.75" header="0.3" footer="0.3"/>
  <pageSetup orientation="portrait" r:id="rId1"/>
  <ignoredErrors>
    <ignoredError sqref="J6 C7:C9 J9" unlockedFormula="1"/>
    <ignoredError sqref="G6:G9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B1:C5"/>
  <sheetViews>
    <sheetView workbookViewId="0">
      <selection activeCell="C1" sqref="C1"/>
    </sheetView>
  </sheetViews>
  <sheetFormatPr defaultRowHeight="14.25"/>
  <cols>
    <col min="1" max="1" width="3.125" customWidth="1"/>
    <col min="2" max="2" width="10.625" customWidth="1"/>
  </cols>
  <sheetData>
    <row r="1" spans="2:3">
      <c r="B1" t="s">
        <v>39</v>
      </c>
      <c r="C1">
        <v>6.5000000000000002E-2</v>
      </c>
    </row>
    <row r="5" spans="2:3" ht="21.75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B1:I20"/>
  <sheetViews>
    <sheetView workbookViewId="0">
      <selection activeCell="C4" sqref="C4"/>
    </sheetView>
  </sheetViews>
  <sheetFormatPr defaultRowHeight="14.25"/>
  <cols>
    <col min="1" max="1" width="1.375" customWidth="1"/>
    <col min="2" max="2" width="23.875" bestFit="1" customWidth="1"/>
    <col min="3" max="3" width="7.25" customWidth="1"/>
    <col min="4" max="4" width="7.125" customWidth="1"/>
    <col min="5" max="5" width="8" customWidth="1"/>
    <col min="6" max="6" width="11.125" customWidth="1"/>
    <col min="7" max="7" width="11.25" customWidth="1"/>
    <col min="8" max="8" width="10.125" bestFit="1" customWidth="1"/>
    <col min="9" max="9" width="10.75" customWidth="1"/>
  </cols>
  <sheetData>
    <row r="1" spans="2:9" ht="8.25" customHeight="1"/>
    <row r="2" spans="2:9" ht="16.5" thickBot="1">
      <c r="B2" s="144" t="s">
        <v>59</v>
      </c>
    </row>
    <row r="3" spans="2:9" ht="15.75" thickBot="1">
      <c r="B3" s="145" t="s">
        <v>56</v>
      </c>
      <c r="C3" s="180">
        <v>2</v>
      </c>
      <c r="H3" s="206" t="s">
        <v>83</v>
      </c>
      <c r="I3" s="207">
        <f>G13+I13+F20</f>
        <v>6207.1175000000012</v>
      </c>
    </row>
    <row r="4" spans="2:9">
      <c r="B4" s="146" t="s">
        <v>57</v>
      </c>
      <c r="C4" s="181">
        <v>24</v>
      </c>
    </row>
    <row r="5" spans="2:9" ht="15" thickBot="1">
      <c r="B5" s="147" t="s">
        <v>58</v>
      </c>
      <c r="C5" s="182">
        <v>0.05</v>
      </c>
    </row>
    <row r="7" spans="2:9" ht="16.5" thickBot="1">
      <c r="B7" s="144" t="s">
        <v>82</v>
      </c>
    </row>
    <row r="8" spans="2:9" ht="29.25" customHeight="1" thickBot="1">
      <c r="B8" s="154" t="s">
        <v>2</v>
      </c>
      <c r="C8" s="155" t="s">
        <v>41</v>
      </c>
      <c r="D8" s="156" t="s">
        <v>17</v>
      </c>
      <c r="E8" s="157" t="s">
        <v>8</v>
      </c>
      <c r="F8" s="157" t="s">
        <v>65</v>
      </c>
      <c r="G8" s="157" t="s">
        <v>66</v>
      </c>
      <c r="H8" s="157" t="s">
        <v>63</v>
      </c>
      <c r="I8" s="157" t="s">
        <v>62</v>
      </c>
    </row>
    <row r="9" spans="2:9">
      <c r="B9" s="13" t="s">
        <v>47</v>
      </c>
      <c r="C9" s="148">
        <v>45</v>
      </c>
      <c r="D9" s="149" t="str">
        <f>VLOOKUP(B9,FtgDB,3,FALSE)</f>
        <v>LF</v>
      </c>
      <c r="E9" s="158">
        <f>ROUNDUP(C9*VLOOKUP(B9,FtgDB,4,FALSE)/12*VLOOKUP(B9,FtgDB,5,FALSE)/12/27*(1+Waste)*4,0)/4</f>
        <v>1.75</v>
      </c>
      <c r="F9" s="150">
        <f>VLOOKUP(B9,FtgDB,7,FALSE)</f>
        <v>92.240000000000009</v>
      </c>
      <c r="G9" s="194">
        <f>E9*F9</f>
        <v>161.42000000000002</v>
      </c>
      <c r="H9" s="150">
        <f>VLOOKUP(B9,FtgDB,8,FALSE)</f>
        <v>3.5</v>
      </c>
      <c r="I9" s="163">
        <f>G9*H9</f>
        <v>564.97</v>
      </c>
    </row>
    <row r="10" spans="2:9">
      <c r="B10" s="74" t="s">
        <v>50</v>
      </c>
      <c r="C10" s="151">
        <v>220</v>
      </c>
      <c r="D10" s="152" t="str">
        <f>VLOOKUP(B10,FtgDB,3,FALSE)</f>
        <v>LF</v>
      </c>
      <c r="E10" s="159">
        <f>ROUNDUP(C10*VLOOKUP(B10,FtgDB,4,FALSE)/12*VLOOKUP(B10,FtgDB,5,FALSE)/12/27*(1+Waste)*4,0)/4</f>
        <v>12</v>
      </c>
      <c r="F10" s="153">
        <f>VLOOKUP(B10,FtgDB,7,FALSE)</f>
        <v>92.240000000000009</v>
      </c>
      <c r="G10" s="193">
        <f>E10*F10</f>
        <v>1106.8800000000001</v>
      </c>
      <c r="H10" s="153">
        <f>VLOOKUP(B10,FtgDB,8,FALSE)</f>
        <v>3.6</v>
      </c>
      <c r="I10" s="195">
        <f>G10*H10</f>
        <v>3984.7680000000005</v>
      </c>
    </row>
    <row r="11" spans="2:9" ht="15" thickBot="1">
      <c r="B11" s="21"/>
      <c r="C11" s="164"/>
      <c r="D11" s="165"/>
      <c r="E11" s="169"/>
      <c r="F11" s="166"/>
      <c r="G11" s="196"/>
      <c r="H11" s="166"/>
      <c r="I11" s="167"/>
    </row>
    <row r="12" spans="2:9">
      <c r="B12" s="37"/>
      <c r="C12" s="37"/>
      <c r="D12" s="37"/>
      <c r="E12" s="197"/>
      <c r="F12" s="198" t="s">
        <v>39</v>
      </c>
      <c r="G12" s="200">
        <f>SUM(G9:G11)*Sales_Tax</f>
        <v>82.43950000000001</v>
      </c>
      <c r="H12" s="198"/>
      <c r="I12" s="199"/>
    </row>
    <row r="13" spans="2:9" ht="15">
      <c r="B13" s="172" t="s">
        <v>71</v>
      </c>
      <c r="C13" s="170">
        <f>SUM(C9:C11)</f>
        <v>265</v>
      </c>
      <c r="D13" s="124" t="s">
        <v>64</v>
      </c>
      <c r="E13" s="171">
        <f>SUM(E9:E11)</f>
        <v>13.75</v>
      </c>
      <c r="F13" s="172" t="s">
        <v>75</v>
      </c>
      <c r="G13" s="168">
        <f>SUM(G9:G12)</f>
        <v>1350.7395000000001</v>
      </c>
      <c r="H13" s="172" t="s">
        <v>74</v>
      </c>
      <c r="I13" s="168">
        <f>SUM(I9:I11)</f>
        <v>4549.7380000000003</v>
      </c>
    </row>
    <row r="15" spans="2:9" ht="16.5" thickBot="1">
      <c r="B15" s="144" t="s">
        <v>67</v>
      </c>
    </row>
    <row r="16" spans="2:9" ht="15" thickBot="1">
      <c r="B16" s="8" t="s">
        <v>2</v>
      </c>
      <c r="C16" s="160" t="s">
        <v>41</v>
      </c>
      <c r="D16" s="161" t="s">
        <v>17</v>
      </c>
      <c r="E16" s="10" t="s">
        <v>60</v>
      </c>
      <c r="F16" s="162" t="s">
        <v>61</v>
      </c>
    </row>
    <row r="17" spans="2:6">
      <c r="B17" s="13" t="s">
        <v>68</v>
      </c>
      <c r="C17" s="148">
        <f>VLOOKUP(B17,FTGRebarMiscDB,2,FALSE)</f>
        <v>31</v>
      </c>
      <c r="D17" s="149" t="str">
        <f>VLOOKUP(B17,FTGRebarMiscDB,3,FALSE)</f>
        <v>EA</v>
      </c>
      <c r="E17" s="150">
        <f>VLOOKUP(B17,FTGRebarMiscDB,4,FALSE)</f>
        <v>9.16</v>
      </c>
      <c r="F17" s="163">
        <f>C17*E17</f>
        <v>283.95999999999998</v>
      </c>
    </row>
    <row r="18" spans="2:6">
      <c r="B18" s="175" t="s">
        <v>70</v>
      </c>
      <c r="C18" s="176">
        <f>VLOOKUP(B18,FTGRebarMiscDB,2,FALSE)</f>
        <v>12</v>
      </c>
      <c r="D18" s="177" t="str">
        <f>VLOOKUP(B18,FTGRebarMiscDB,3,FALSE)</f>
        <v>EA</v>
      </c>
      <c r="E18" s="178">
        <f>VLOOKUP(B18,FTGRebarMiscDB,4,FALSE)</f>
        <v>1.8900000000000001</v>
      </c>
      <c r="F18" s="179">
        <f>C18*E18</f>
        <v>22.68</v>
      </c>
    </row>
    <row r="19" spans="2:6" ht="15" thickBot="1">
      <c r="B19" s="21"/>
      <c r="C19" s="164"/>
      <c r="D19" s="165"/>
      <c r="E19" s="166"/>
      <c r="F19" s="167"/>
    </row>
    <row r="20" spans="2:6" s="66" customFormat="1" ht="15">
      <c r="B20" s="174" t="s">
        <v>72</v>
      </c>
      <c r="F20" s="168">
        <f>SUM(F17:F19)</f>
        <v>306.64</v>
      </c>
    </row>
  </sheetData>
  <dataValidations disablePrompts="1" count="2">
    <dataValidation type="list" allowBlank="1" showInputMessage="1" showErrorMessage="1" sqref="B9:B11">
      <formula1>FootingList</formula1>
    </dataValidation>
    <dataValidation type="list" allowBlank="1" showInputMessage="1" showErrorMessage="1" sqref="B17:B19">
      <formula1>FTGRebarMiscList</formula1>
    </dataValidation>
  </dataValidations>
  <pageMargins left="0.7" right="0.7" top="0.75" bottom="0.75" header="0.3" footer="0.3"/>
  <pageSetup orientation="portrait" r:id="rId1"/>
  <ignoredErrors>
    <ignoredError sqref="H9:H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/>
  <dimension ref="A1:I36"/>
  <sheetViews>
    <sheetView workbookViewId="0">
      <selection activeCell="C19" sqref="C19"/>
    </sheetView>
  </sheetViews>
  <sheetFormatPr defaultRowHeight="14.25"/>
  <cols>
    <col min="1" max="1" width="1.125" customWidth="1"/>
    <col min="2" max="2" width="20.875" bestFit="1" customWidth="1"/>
    <col min="3" max="3" width="6.25" customWidth="1"/>
    <col min="4" max="4" width="9" bestFit="1" customWidth="1"/>
    <col min="5" max="6" width="9" customWidth="1"/>
    <col min="7" max="7" width="7.875" customWidth="1"/>
    <col min="8" max="8" width="8" customWidth="1"/>
    <col min="9" max="9" width="8.125" customWidth="1"/>
    <col min="10" max="11" width="10" customWidth="1"/>
  </cols>
  <sheetData>
    <row r="1" spans="1:9" ht="10.5" customHeight="1" thickBot="1"/>
    <row r="2" spans="1:9" ht="16.5" thickBot="1">
      <c r="A2" s="49"/>
      <c r="B2" s="125" t="s">
        <v>76</v>
      </c>
      <c r="C2" s="126" t="s">
        <v>41</v>
      </c>
      <c r="D2" s="127" t="s">
        <v>17</v>
      </c>
      <c r="E2" s="128" t="s">
        <v>42</v>
      </c>
      <c r="F2" s="129" t="s">
        <v>43</v>
      </c>
      <c r="G2" s="130" t="s">
        <v>19</v>
      </c>
      <c r="H2" s="128" t="s">
        <v>9</v>
      </c>
      <c r="I2" s="183" t="s">
        <v>73</v>
      </c>
    </row>
    <row r="3" spans="1:9">
      <c r="A3" s="56"/>
      <c r="B3" s="131" t="s">
        <v>44</v>
      </c>
      <c r="C3" s="132"/>
      <c r="D3" s="133"/>
      <c r="E3" s="134"/>
      <c r="F3" s="134"/>
      <c r="G3" s="135"/>
      <c r="H3" s="136"/>
      <c r="I3" s="184"/>
    </row>
    <row r="4" spans="1:9">
      <c r="A4" s="49"/>
      <c r="B4" s="137" t="s">
        <v>45</v>
      </c>
      <c r="C4" s="138" t="s">
        <v>46</v>
      </c>
      <c r="D4" s="139" t="s">
        <v>40</v>
      </c>
      <c r="E4" s="140">
        <v>16</v>
      </c>
      <c r="F4" s="140">
        <v>8</v>
      </c>
      <c r="G4" s="141">
        <v>3000</v>
      </c>
      <c r="H4" s="142">
        <f t="shared" ref="H4:H13" si="0">VLOOKUP(G4,ConcreteDB,3,FALSE)</f>
        <v>92.240000000000009</v>
      </c>
      <c r="I4" s="185">
        <v>3.5</v>
      </c>
    </row>
    <row r="5" spans="1:9">
      <c r="A5" s="49"/>
      <c r="B5" s="137" t="s">
        <v>47</v>
      </c>
      <c r="C5" s="138" t="s">
        <v>46</v>
      </c>
      <c r="D5" s="139" t="s">
        <v>40</v>
      </c>
      <c r="E5" s="140">
        <v>18</v>
      </c>
      <c r="F5" s="140">
        <v>8</v>
      </c>
      <c r="G5" s="141">
        <v>3000</v>
      </c>
      <c r="H5" s="142">
        <f t="shared" si="0"/>
        <v>92.240000000000009</v>
      </c>
      <c r="I5" s="185">
        <v>3.5</v>
      </c>
    </row>
    <row r="6" spans="1:9">
      <c r="A6" s="49"/>
      <c r="B6" s="137" t="s">
        <v>48</v>
      </c>
      <c r="C6" s="138" t="s">
        <v>46</v>
      </c>
      <c r="D6" s="139" t="s">
        <v>40</v>
      </c>
      <c r="E6" s="140">
        <v>18</v>
      </c>
      <c r="F6" s="140">
        <v>10</v>
      </c>
      <c r="G6" s="141">
        <v>3000</v>
      </c>
      <c r="H6" s="142">
        <f t="shared" si="0"/>
        <v>92.240000000000009</v>
      </c>
      <c r="I6" s="185">
        <v>3.5</v>
      </c>
    </row>
    <row r="7" spans="1:9">
      <c r="A7" s="49"/>
      <c r="B7" s="137" t="s">
        <v>49</v>
      </c>
      <c r="C7" s="138" t="s">
        <v>46</v>
      </c>
      <c r="D7" s="139" t="s">
        <v>40</v>
      </c>
      <c r="E7" s="140">
        <v>20</v>
      </c>
      <c r="F7" s="140">
        <v>8</v>
      </c>
      <c r="G7" s="141">
        <v>3000</v>
      </c>
      <c r="H7" s="142">
        <f t="shared" si="0"/>
        <v>92.240000000000009</v>
      </c>
      <c r="I7" s="185">
        <v>3.5</v>
      </c>
    </row>
    <row r="8" spans="1:9">
      <c r="A8" s="49"/>
      <c r="B8" s="137" t="s">
        <v>50</v>
      </c>
      <c r="C8" s="138" t="s">
        <v>46</v>
      </c>
      <c r="D8" s="139" t="s">
        <v>40</v>
      </c>
      <c r="E8" s="140">
        <v>20</v>
      </c>
      <c r="F8" s="140">
        <v>10</v>
      </c>
      <c r="G8" s="141">
        <v>3000</v>
      </c>
      <c r="H8" s="142">
        <f t="shared" si="0"/>
        <v>92.240000000000009</v>
      </c>
      <c r="I8" s="185">
        <v>3.6</v>
      </c>
    </row>
    <row r="9" spans="1:9">
      <c r="A9" s="49"/>
      <c r="B9" s="137" t="s">
        <v>51</v>
      </c>
      <c r="C9" s="138" t="s">
        <v>46</v>
      </c>
      <c r="D9" s="139" t="s">
        <v>40</v>
      </c>
      <c r="E9" s="140">
        <v>20</v>
      </c>
      <c r="F9" s="140">
        <v>12</v>
      </c>
      <c r="G9" s="141">
        <v>3000</v>
      </c>
      <c r="H9" s="142">
        <f t="shared" si="0"/>
        <v>92.240000000000009</v>
      </c>
      <c r="I9" s="185">
        <v>3.7</v>
      </c>
    </row>
    <row r="10" spans="1:9">
      <c r="A10" s="49"/>
      <c r="B10" s="137" t="s">
        <v>52</v>
      </c>
      <c r="C10" s="138" t="s">
        <v>46</v>
      </c>
      <c r="D10" s="139" t="s">
        <v>40</v>
      </c>
      <c r="E10" s="140">
        <v>24</v>
      </c>
      <c r="F10" s="140">
        <v>10</v>
      </c>
      <c r="G10" s="141">
        <v>3000</v>
      </c>
      <c r="H10" s="142">
        <f t="shared" si="0"/>
        <v>92.240000000000009</v>
      </c>
      <c r="I10" s="185">
        <v>3.8</v>
      </c>
    </row>
    <row r="11" spans="1:9">
      <c r="A11" s="49"/>
      <c r="B11" s="137" t="s">
        <v>53</v>
      </c>
      <c r="C11" s="138" t="s">
        <v>46</v>
      </c>
      <c r="D11" s="143" t="s">
        <v>40</v>
      </c>
      <c r="E11" s="140">
        <v>24</v>
      </c>
      <c r="F11" s="140">
        <v>12</v>
      </c>
      <c r="G11" s="141">
        <v>3000</v>
      </c>
      <c r="H11" s="142">
        <f t="shared" si="0"/>
        <v>92.240000000000009</v>
      </c>
      <c r="I11" s="185">
        <v>3.9</v>
      </c>
    </row>
    <row r="12" spans="1:9">
      <c r="A12" s="49"/>
      <c r="B12" s="137" t="s">
        <v>54</v>
      </c>
      <c r="C12" s="138" t="s">
        <v>46</v>
      </c>
      <c r="D12" s="143" t="s">
        <v>40</v>
      </c>
      <c r="E12" s="140">
        <v>30</v>
      </c>
      <c r="F12" s="140">
        <v>12</v>
      </c>
      <c r="G12" s="141">
        <v>3000</v>
      </c>
      <c r="H12" s="142">
        <f t="shared" si="0"/>
        <v>92.240000000000009</v>
      </c>
      <c r="I12" s="185">
        <v>4</v>
      </c>
    </row>
    <row r="13" spans="1:9">
      <c r="A13" s="49"/>
      <c r="B13" s="137" t="s">
        <v>55</v>
      </c>
      <c r="C13" s="138" t="s">
        <v>46</v>
      </c>
      <c r="D13" s="143" t="s">
        <v>40</v>
      </c>
      <c r="E13" s="140">
        <v>30</v>
      </c>
      <c r="F13" s="140">
        <v>16</v>
      </c>
      <c r="G13" s="141">
        <v>3000</v>
      </c>
      <c r="H13" s="142">
        <f t="shared" si="0"/>
        <v>92.240000000000009</v>
      </c>
      <c r="I13" s="185">
        <v>4.0999999999999996</v>
      </c>
    </row>
    <row r="14" spans="1:9" ht="15" thickBot="1">
      <c r="A14" s="49"/>
      <c r="B14" s="186"/>
      <c r="C14" s="187"/>
      <c r="D14" s="188"/>
      <c r="E14" s="189"/>
      <c r="F14" s="189"/>
      <c r="G14" s="190"/>
      <c r="H14" s="191"/>
      <c r="I14" s="192"/>
    </row>
    <row r="15" spans="1:9" ht="15" thickBot="1"/>
    <row r="16" spans="1:9" ht="16.5" thickBot="1">
      <c r="B16" s="75" t="s">
        <v>84</v>
      </c>
    </row>
    <row r="17" spans="2:6" ht="15.75" thickBot="1">
      <c r="B17" s="112" t="s">
        <v>35</v>
      </c>
      <c r="C17" s="126" t="s">
        <v>41</v>
      </c>
      <c r="D17" s="113" t="s">
        <v>17</v>
      </c>
      <c r="E17" s="114" t="s">
        <v>22</v>
      </c>
    </row>
    <row r="18" spans="2:6">
      <c r="B18" s="201" t="s">
        <v>68</v>
      </c>
      <c r="C18" s="202">
        <f>ROUNDUP(LFBar*Num_of_bars/18*(1+Waste),0)</f>
        <v>31</v>
      </c>
      <c r="D18" s="118" t="s">
        <v>69</v>
      </c>
      <c r="E18" s="97">
        <v>9.16</v>
      </c>
    </row>
    <row r="19" spans="2:6">
      <c r="B19" s="201" t="s">
        <v>70</v>
      </c>
      <c r="C19" s="202">
        <f>ROUNDUP(LFBar/JBarSpacing*(1+Waste),0)</f>
        <v>12</v>
      </c>
      <c r="D19" s="119" t="s">
        <v>69</v>
      </c>
      <c r="E19" s="99">
        <v>1.8900000000000001</v>
      </c>
    </row>
    <row r="20" spans="2:6">
      <c r="B20" s="201" t="s">
        <v>80</v>
      </c>
      <c r="C20" s="202">
        <f>ROUNDUP(LFBar/JBarSpacing*(1+Waste),0)</f>
        <v>12</v>
      </c>
      <c r="D20" s="119" t="s">
        <v>69</v>
      </c>
      <c r="E20" s="99">
        <v>2.75</v>
      </c>
    </row>
    <row r="21" spans="2:6">
      <c r="B21" s="201" t="s">
        <v>81</v>
      </c>
      <c r="C21" s="202">
        <f>ROUNDUP(LFBar/JBarSpacing*(1+Waste),0)</f>
        <v>12</v>
      </c>
      <c r="D21" s="119" t="s">
        <v>69</v>
      </c>
      <c r="E21" s="99">
        <v>2.95</v>
      </c>
    </row>
    <row r="22" spans="2:6">
      <c r="B22" s="201" t="s">
        <v>77</v>
      </c>
      <c r="C22" s="202">
        <v>1</v>
      </c>
      <c r="D22" s="119" t="s">
        <v>69</v>
      </c>
      <c r="E22" s="99">
        <v>25</v>
      </c>
    </row>
    <row r="23" spans="2:6">
      <c r="B23" s="201" t="s">
        <v>78</v>
      </c>
      <c r="C23" s="202">
        <v>1</v>
      </c>
      <c r="D23" s="119" t="s">
        <v>69</v>
      </c>
      <c r="E23" s="99">
        <v>15</v>
      </c>
    </row>
    <row r="24" spans="2:6">
      <c r="B24" s="201" t="s">
        <v>79</v>
      </c>
      <c r="C24" s="202">
        <v>1</v>
      </c>
      <c r="D24" s="119" t="s">
        <v>69</v>
      </c>
      <c r="E24" s="99">
        <v>15</v>
      </c>
    </row>
    <row r="25" spans="2:6" ht="15" thickBot="1">
      <c r="B25" s="203"/>
      <c r="C25" s="204"/>
      <c r="D25" s="205"/>
      <c r="E25" s="101"/>
    </row>
    <row r="26" spans="2:6" ht="15" thickBot="1"/>
    <row r="27" spans="2:6" ht="16.5" thickBot="1">
      <c r="B27" s="75" t="s">
        <v>18</v>
      </c>
    </row>
    <row r="28" spans="2:6" ht="15.75" thickBot="1">
      <c r="B28" s="112" t="s">
        <v>35</v>
      </c>
      <c r="C28" s="113" t="s">
        <v>17</v>
      </c>
      <c r="D28" s="114" t="s">
        <v>22</v>
      </c>
      <c r="E28" s="114" t="s">
        <v>23</v>
      </c>
      <c r="F28" s="114" t="s">
        <v>24</v>
      </c>
    </row>
    <row r="29" spans="2:6">
      <c r="B29" s="121">
        <v>2500</v>
      </c>
      <c r="C29" s="118" t="s">
        <v>8</v>
      </c>
      <c r="D29" s="116">
        <v>87.7</v>
      </c>
      <c r="E29" s="116">
        <v>92.09</v>
      </c>
      <c r="F29" s="97">
        <v>96.48</v>
      </c>
    </row>
    <row r="30" spans="2:6">
      <c r="B30" s="122">
        <v>3000</v>
      </c>
      <c r="C30" s="119" t="s">
        <v>8</v>
      </c>
      <c r="D30" s="115">
        <v>92.240000000000009</v>
      </c>
      <c r="E30" s="115">
        <v>96.86</v>
      </c>
      <c r="F30" s="99">
        <v>101.47</v>
      </c>
    </row>
    <row r="31" spans="2:6">
      <c r="B31" s="122">
        <v>3500</v>
      </c>
      <c r="C31" s="119" t="s">
        <v>8</v>
      </c>
      <c r="D31" s="115">
        <v>95.26</v>
      </c>
      <c r="E31" s="115">
        <v>100.03</v>
      </c>
      <c r="F31" s="99">
        <v>104.79</v>
      </c>
    </row>
    <row r="32" spans="2:6">
      <c r="B32" s="122">
        <v>4000</v>
      </c>
      <c r="C32" s="119" t="s">
        <v>8</v>
      </c>
      <c r="D32" s="115">
        <v>98.28</v>
      </c>
      <c r="E32" s="115">
        <v>103.2</v>
      </c>
      <c r="F32" s="99">
        <v>108.11</v>
      </c>
    </row>
    <row r="33" spans="2:6">
      <c r="B33" s="122">
        <v>4500</v>
      </c>
      <c r="C33" s="119" t="s">
        <v>8</v>
      </c>
      <c r="D33" s="115">
        <v>104.33</v>
      </c>
      <c r="E33" s="115">
        <v>109.55000000000001</v>
      </c>
      <c r="F33" s="99">
        <v>114.77000000000001</v>
      </c>
    </row>
    <row r="34" spans="2:6">
      <c r="B34" s="122">
        <v>5000</v>
      </c>
      <c r="C34" s="119" t="s">
        <v>8</v>
      </c>
      <c r="D34" s="115">
        <v>107.36</v>
      </c>
      <c r="E34" s="115">
        <v>112.73</v>
      </c>
      <c r="F34" s="99">
        <v>118.10000000000001</v>
      </c>
    </row>
    <row r="35" spans="2:6">
      <c r="B35" s="122" t="s">
        <v>20</v>
      </c>
      <c r="C35" s="119" t="s">
        <v>8</v>
      </c>
      <c r="D35" s="115">
        <v>8.4</v>
      </c>
      <c r="E35" s="115">
        <v>8.82</v>
      </c>
      <c r="F35" s="99">
        <v>9.24</v>
      </c>
    </row>
    <row r="36" spans="2:6" ht="15" thickBot="1">
      <c r="B36" s="123"/>
      <c r="C36" s="120"/>
      <c r="D36" s="117"/>
      <c r="E36" s="117"/>
      <c r="F36" s="101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B1:F55"/>
  <sheetViews>
    <sheetView zoomScaleNormal="100" workbookViewId="0"/>
  </sheetViews>
  <sheetFormatPr defaultRowHeight="14.25"/>
  <cols>
    <col min="1" max="1" width="3.875" customWidth="1"/>
    <col min="2" max="2" width="31.625" customWidth="1"/>
    <col min="3" max="3" width="14.875" customWidth="1"/>
    <col min="4" max="4" width="9.625" customWidth="1"/>
    <col min="5" max="5" width="11.25" customWidth="1"/>
    <col min="6" max="6" width="14" customWidth="1"/>
  </cols>
  <sheetData>
    <row r="1" spans="2:6" ht="15" thickBot="1"/>
    <row r="2" spans="2:6" ht="18" customHeight="1" thickBot="1">
      <c r="D2" s="292" t="s">
        <v>160</v>
      </c>
      <c r="E2" s="286" t="s">
        <v>147</v>
      </c>
    </row>
    <row r="3" spans="2:6" s="287" customFormat="1" ht="30.75" thickBot="1">
      <c r="B3" s="280" t="s">
        <v>92</v>
      </c>
      <c r="C3" s="288" t="s">
        <v>93</v>
      </c>
      <c r="D3" s="288" t="s">
        <v>17</v>
      </c>
      <c r="E3" s="288" t="s">
        <v>152</v>
      </c>
      <c r="F3" s="288" t="s">
        <v>153</v>
      </c>
    </row>
    <row r="4" spans="2:6">
      <c r="B4" s="271" t="s">
        <v>94</v>
      </c>
      <c r="C4" s="311">
        <v>1950</v>
      </c>
      <c r="D4" s="231" t="s">
        <v>6</v>
      </c>
      <c r="E4" s="232">
        <f t="shared" ref="E4:E11" si="0">VLOOKUP(B4,ValuationDB,MATCH(City,Cities,0)+1,FALSE)</f>
        <v>75</v>
      </c>
      <c r="F4" s="232">
        <f>C4*E4</f>
        <v>146250</v>
      </c>
    </row>
    <row r="5" spans="2:6">
      <c r="B5" s="272" t="s">
        <v>95</v>
      </c>
      <c r="C5" s="312">
        <v>800</v>
      </c>
      <c r="D5" s="233" t="s">
        <v>6</v>
      </c>
      <c r="E5" s="234">
        <f t="shared" si="0"/>
        <v>75</v>
      </c>
      <c r="F5" s="234">
        <f t="shared" ref="F5:F10" si="1">C5*E5</f>
        <v>60000</v>
      </c>
    </row>
    <row r="6" spans="2:6">
      <c r="B6" s="272" t="s">
        <v>96</v>
      </c>
      <c r="C6" s="312"/>
      <c r="D6" s="233" t="s">
        <v>6</v>
      </c>
      <c r="E6" s="234">
        <f t="shared" si="0"/>
        <v>75</v>
      </c>
      <c r="F6" s="234">
        <f t="shared" si="1"/>
        <v>0</v>
      </c>
    </row>
    <row r="7" spans="2:6">
      <c r="B7" s="272" t="s">
        <v>97</v>
      </c>
      <c r="C7" s="312"/>
      <c r="D7" s="233" t="s">
        <v>6</v>
      </c>
      <c r="E7" s="234">
        <f t="shared" si="0"/>
        <v>55</v>
      </c>
      <c r="F7" s="234">
        <f t="shared" si="1"/>
        <v>0</v>
      </c>
    </row>
    <row r="8" spans="2:6">
      <c r="B8" s="272" t="s">
        <v>98</v>
      </c>
      <c r="C8" s="312">
        <v>2100</v>
      </c>
      <c r="D8" s="233" t="s">
        <v>6</v>
      </c>
      <c r="E8" s="234">
        <f t="shared" si="0"/>
        <v>35</v>
      </c>
      <c r="F8" s="234">
        <f t="shared" si="1"/>
        <v>73500</v>
      </c>
    </row>
    <row r="9" spans="2:6">
      <c r="B9" s="272" t="s">
        <v>99</v>
      </c>
      <c r="C9" s="312">
        <v>650</v>
      </c>
      <c r="D9" s="233" t="s">
        <v>6</v>
      </c>
      <c r="E9" s="234">
        <f t="shared" si="0"/>
        <v>35</v>
      </c>
      <c r="F9" s="234">
        <f t="shared" si="1"/>
        <v>22750</v>
      </c>
    </row>
    <row r="10" spans="2:6">
      <c r="B10" s="272" t="s">
        <v>100</v>
      </c>
      <c r="C10" s="312">
        <v>150</v>
      </c>
      <c r="D10" s="233" t="s">
        <v>6</v>
      </c>
      <c r="E10" s="234">
        <f t="shared" si="0"/>
        <v>35</v>
      </c>
      <c r="F10" s="234">
        <f t="shared" si="1"/>
        <v>5250</v>
      </c>
    </row>
    <row r="11" spans="2:6">
      <c r="B11" s="273" t="s">
        <v>108</v>
      </c>
      <c r="C11" s="313"/>
      <c r="D11" s="235" t="s">
        <v>6</v>
      </c>
      <c r="E11" s="236">
        <f t="shared" si="0"/>
        <v>35</v>
      </c>
      <c r="F11" s="236">
        <f>C11*E11</f>
        <v>0</v>
      </c>
    </row>
    <row r="12" spans="2:6" ht="15" thickBot="1">
      <c r="B12" s="281"/>
      <c r="C12" s="314"/>
      <c r="D12" s="274"/>
      <c r="E12" s="275"/>
      <c r="F12" s="275"/>
    </row>
    <row r="13" spans="2:6" ht="15.75" thickBot="1">
      <c r="E13" s="292" t="s">
        <v>161</v>
      </c>
      <c r="F13" s="305">
        <f>SUM(F4:F12)</f>
        <v>307750</v>
      </c>
    </row>
    <row r="14" spans="2:6" ht="15.75" thickBot="1">
      <c r="B14" s="66"/>
      <c r="F14" s="290"/>
    </row>
    <row r="15" spans="2:6" ht="16.5" thickBot="1">
      <c r="B15" s="242" t="s">
        <v>156</v>
      </c>
    </row>
    <row r="16" spans="2:6">
      <c r="B16" s="282" t="s">
        <v>125</v>
      </c>
      <c r="C16" s="283">
        <v>1</v>
      </c>
      <c r="D16" s="283" t="s">
        <v>158</v>
      </c>
      <c r="E16" s="284">
        <f>PermitFee</f>
        <v>2158.5500000000002</v>
      </c>
      <c r="F16" s="284">
        <f>C16*E16</f>
        <v>2158.5500000000002</v>
      </c>
    </row>
    <row r="17" spans="2:6">
      <c r="B17" s="273" t="s">
        <v>101</v>
      </c>
      <c r="C17" s="291">
        <f>PermitFee</f>
        <v>2158.5500000000002</v>
      </c>
      <c r="D17" s="235" t="s">
        <v>159</v>
      </c>
      <c r="E17" s="236">
        <f>VLOOKUP(B17,PermitDataDB,MATCH(City,Cities,0),FALSE)</f>
        <v>0.65</v>
      </c>
      <c r="F17" s="236">
        <f>C17*E17</f>
        <v>1403.0575000000001</v>
      </c>
    </row>
    <row r="18" spans="2:6">
      <c r="B18" s="273" t="s">
        <v>102</v>
      </c>
      <c r="C18" s="291">
        <f>PermitFee</f>
        <v>2158.5500000000002</v>
      </c>
      <c r="D18" s="235"/>
      <c r="E18" s="236">
        <f>VLOOKUP(B18,PermitDataDB,MATCH(City,Cities,0),FALSE)</f>
        <v>0.01</v>
      </c>
      <c r="F18" s="236">
        <f>C18*E18</f>
        <v>21.585500000000003</v>
      </c>
    </row>
    <row r="19" spans="2:6">
      <c r="B19" s="273" t="s">
        <v>103</v>
      </c>
      <c r="C19" s="235">
        <v>1</v>
      </c>
      <c r="D19" s="235" t="s">
        <v>69</v>
      </c>
      <c r="E19" s="236">
        <f>TotConnectFees</f>
        <v>10376</v>
      </c>
      <c r="F19" s="236">
        <f>C19*E19</f>
        <v>10376</v>
      </c>
    </row>
    <row r="20" spans="2:6" ht="15" thickBot="1">
      <c r="B20" s="54"/>
      <c r="C20" s="274"/>
      <c r="D20" s="274"/>
      <c r="E20" s="275"/>
      <c r="F20" s="275"/>
    </row>
    <row r="21" spans="2:6" ht="15.75" thickBot="1">
      <c r="E21" s="306" t="s">
        <v>162</v>
      </c>
      <c r="F21" s="305">
        <f>SUM(F16:F20)</f>
        <v>13959.192999999999</v>
      </c>
    </row>
    <row r="22" spans="2:6" ht="15.75" thickBot="1">
      <c r="E22" s="315"/>
      <c r="F22" s="316"/>
    </row>
    <row r="23" spans="2:6" ht="16.5" thickBot="1">
      <c r="B23" s="242" t="s">
        <v>157</v>
      </c>
      <c r="C23" s="292" t="s">
        <v>160</v>
      </c>
    </row>
    <row r="24" spans="2:6" ht="15.75" thickBot="1">
      <c r="B24" s="285" t="s">
        <v>110</v>
      </c>
      <c r="C24" s="293" t="str">
        <f>E2</f>
        <v>Garden City</v>
      </c>
    </row>
    <row r="25" spans="2:6">
      <c r="B25" s="259" t="s">
        <v>111</v>
      </c>
      <c r="C25" s="309">
        <f t="shared" ref="C25:C52" si="2">VLOOKUP(B25,ConnectionDB,MATCH(City,Cities,0)+1,FALSE)</f>
        <v>984</v>
      </c>
    </row>
    <row r="26" spans="2:6">
      <c r="B26" s="259" t="s">
        <v>112</v>
      </c>
      <c r="C26" s="234">
        <f t="shared" si="2"/>
        <v>0</v>
      </c>
    </row>
    <row r="27" spans="2:6">
      <c r="B27" s="259" t="s">
        <v>145</v>
      </c>
      <c r="C27" s="234">
        <f t="shared" si="2"/>
        <v>0</v>
      </c>
    </row>
    <row r="28" spans="2:6">
      <c r="B28" s="259" t="s">
        <v>113</v>
      </c>
      <c r="C28" s="234">
        <f t="shared" si="2"/>
        <v>712</v>
      </c>
    </row>
    <row r="29" spans="2:6">
      <c r="B29" s="259" t="s">
        <v>114</v>
      </c>
      <c r="C29" s="234">
        <f t="shared" si="2"/>
        <v>0</v>
      </c>
    </row>
    <row r="30" spans="2:6">
      <c r="B30" s="259" t="s">
        <v>115</v>
      </c>
      <c r="C30" s="234">
        <f t="shared" si="2"/>
        <v>0</v>
      </c>
    </row>
    <row r="31" spans="2:6">
      <c r="B31" s="259" t="s">
        <v>149</v>
      </c>
      <c r="C31" s="234">
        <f t="shared" si="2"/>
        <v>1078</v>
      </c>
      <c r="D31" t="s">
        <v>150</v>
      </c>
      <c r="E31" s="294" t="s">
        <v>140</v>
      </c>
    </row>
    <row r="32" spans="2:6">
      <c r="B32" s="259" t="s">
        <v>116</v>
      </c>
      <c r="C32" s="234">
        <f t="shared" si="2"/>
        <v>0</v>
      </c>
      <c r="E32" s="276" t="s">
        <v>151</v>
      </c>
    </row>
    <row r="33" spans="2:3">
      <c r="B33" s="259" t="s">
        <v>117</v>
      </c>
      <c r="C33" s="234">
        <f t="shared" si="2"/>
        <v>0</v>
      </c>
    </row>
    <row r="34" spans="2:3">
      <c r="B34" s="259" t="s">
        <v>118</v>
      </c>
      <c r="C34" s="234">
        <f t="shared" si="2"/>
        <v>185</v>
      </c>
    </row>
    <row r="35" spans="2:3">
      <c r="B35" s="259" t="s">
        <v>119</v>
      </c>
      <c r="C35" s="234">
        <f t="shared" si="2"/>
        <v>641</v>
      </c>
    </row>
    <row r="36" spans="2:3">
      <c r="B36" s="260" t="s">
        <v>120</v>
      </c>
      <c r="C36" s="234">
        <f t="shared" si="2"/>
        <v>2625</v>
      </c>
    </row>
    <row r="37" spans="2:3">
      <c r="B37" s="259" t="s">
        <v>121</v>
      </c>
      <c r="C37" s="234">
        <f t="shared" si="2"/>
        <v>0</v>
      </c>
    </row>
    <row r="38" spans="2:3">
      <c r="B38" s="259" t="s">
        <v>122</v>
      </c>
      <c r="C38" s="234">
        <f t="shared" si="2"/>
        <v>3000</v>
      </c>
    </row>
    <row r="39" spans="2:3">
      <c r="B39" s="259" t="s">
        <v>123</v>
      </c>
      <c r="C39" s="234">
        <f t="shared" si="2"/>
        <v>0</v>
      </c>
    </row>
    <row r="40" spans="2:3">
      <c r="B40" s="259" t="s">
        <v>124</v>
      </c>
      <c r="C40" s="234">
        <f t="shared" si="2"/>
        <v>120</v>
      </c>
    </row>
    <row r="41" spans="2:3">
      <c r="B41" s="259" t="s">
        <v>126</v>
      </c>
      <c r="C41" s="234">
        <f t="shared" si="2"/>
        <v>0</v>
      </c>
    </row>
    <row r="42" spans="2:3">
      <c r="B42" s="259" t="s">
        <v>127</v>
      </c>
      <c r="C42" s="234">
        <f t="shared" si="2"/>
        <v>0</v>
      </c>
    </row>
    <row r="43" spans="2:3">
      <c r="B43" s="259" t="s">
        <v>128</v>
      </c>
      <c r="C43" s="234">
        <f t="shared" si="2"/>
        <v>0</v>
      </c>
    </row>
    <row r="44" spans="2:3">
      <c r="B44" s="259" t="s">
        <v>129</v>
      </c>
      <c r="C44" s="234">
        <f t="shared" si="2"/>
        <v>0</v>
      </c>
    </row>
    <row r="45" spans="2:3">
      <c r="B45" s="259" t="s">
        <v>130</v>
      </c>
      <c r="C45" s="234">
        <f t="shared" si="2"/>
        <v>17</v>
      </c>
    </row>
    <row r="46" spans="2:3">
      <c r="B46" s="259" t="s">
        <v>131</v>
      </c>
      <c r="C46" s="234">
        <f t="shared" si="2"/>
        <v>0</v>
      </c>
    </row>
    <row r="47" spans="2:3">
      <c r="B47" s="259" t="s">
        <v>132</v>
      </c>
      <c r="C47" s="234">
        <f t="shared" si="2"/>
        <v>0</v>
      </c>
    </row>
    <row r="48" spans="2:3">
      <c r="B48" s="260" t="s">
        <v>133</v>
      </c>
      <c r="C48" s="234">
        <f t="shared" si="2"/>
        <v>0</v>
      </c>
    </row>
    <row r="49" spans="2:3">
      <c r="B49" s="259" t="s">
        <v>134</v>
      </c>
      <c r="C49" s="234">
        <f t="shared" si="2"/>
        <v>0</v>
      </c>
    </row>
    <row r="50" spans="2:3">
      <c r="B50" s="259" t="s">
        <v>135</v>
      </c>
      <c r="C50" s="234">
        <f t="shared" si="2"/>
        <v>789</v>
      </c>
    </row>
    <row r="51" spans="2:3">
      <c r="B51" s="259" t="s">
        <v>136</v>
      </c>
      <c r="C51" s="234">
        <f t="shared" si="2"/>
        <v>225</v>
      </c>
    </row>
    <row r="52" spans="2:3">
      <c r="B52" s="259" t="s">
        <v>137</v>
      </c>
      <c r="C52" s="234">
        <f t="shared" si="2"/>
        <v>0</v>
      </c>
    </row>
    <row r="53" spans="2:3" ht="15" thickBot="1">
      <c r="B53" s="307"/>
      <c r="C53" s="234"/>
    </row>
    <row r="54" spans="2:3" ht="15.75" thickBot="1">
      <c r="B54" s="308" t="s">
        <v>163</v>
      </c>
      <c r="C54" s="310">
        <f>SUM(C25:C52)</f>
        <v>10376</v>
      </c>
    </row>
    <row r="55" spans="2:3">
      <c r="B55" s="49"/>
      <c r="C55" s="241"/>
    </row>
  </sheetData>
  <dataValidations disablePrompts="1" count="2">
    <dataValidation type="list" allowBlank="1" showInputMessage="1" showErrorMessage="1" sqref="E31">
      <formula1>WaterLineSizes</formula1>
    </dataValidation>
    <dataValidation type="list" allowBlank="1" showInputMessage="1" showErrorMessage="1" sqref="E2">
      <formula1>Cities</formula1>
    </dataValidation>
  </dataValidations>
  <hyperlinks>
    <hyperlink ref="E32" location="WaterLineSizeCheck" display="To Database"/>
  </hyperlinks>
  <pageMargins left="0.57999999999999996" right="0.52" top="0.44" bottom="0.55000000000000004" header="0.3" footer="0.46"/>
  <pageSetup scale="92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B1:I57"/>
  <sheetViews>
    <sheetView zoomScale="84" zoomScaleNormal="84" workbookViewId="0"/>
  </sheetViews>
  <sheetFormatPr defaultRowHeight="14.25"/>
  <cols>
    <col min="1" max="1" width="2.625" customWidth="1"/>
    <col min="2" max="2" width="31.625" bestFit="1" customWidth="1"/>
    <col min="3" max="3" width="10.625" customWidth="1"/>
  </cols>
  <sheetData>
    <row r="1" spans="2:8" ht="15" thickBot="1"/>
    <row r="2" spans="2:8" ht="38.25">
      <c r="B2" s="251" t="s">
        <v>104</v>
      </c>
      <c r="C2" s="252" t="s">
        <v>105</v>
      </c>
      <c r="D2" s="253" t="s">
        <v>106</v>
      </c>
      <c r="E2" s="265" t="s">
        <v>146</v>
      </c>
      <c r="F2" s="265" t="s">
        <v>147</v>
      </c>
      <c r="G2" s="265" t="s">
        <v>148</v>
      </c>
      <c r="H2" s="266" t="s">
        <v>144</v>
      </c>
    </row>
    <row r="3" spans="2:8">
      <c r="B3" s="254" t="s">
        <v>107</v>
      </c>
      <c r="C3" s="250"/>
      <c r="D3" s="250"/>
      <c r="E3" s="250"/>
      <c r="F3" s="250"/>
      <c r="G3" s="250"/>
      <c r="H3" s="255"/>
    </row>
    <row r="4" spans="2:8">
      <c r="B4" s="243" t="s">
        <v>94</v>
      </c>
      <c r="C4" s="238">
        <v>96.83</v>
      </c>
      <c r="D4" s="238">
        <v>96.83</v>
      </c>
      <c r="E4" s="239">
        <v>91.36</v>
      </c>
      <c r="F4" s="239">
        <v>75</v>
      </c>
      <c r="G4" s="240">
        <v>96.83</v>
      </c>
      <c r="H4" s="244">
        <v>96.83</v>
      </c>
    </row>
    <row r="5" spans="2:8">
      <c r="B5" s="245" t="s">
        <v>95</v>
      </c>
      <c r="C5" s="238">
        <v>96.83</v>
      </c>
      <c r="D5" s="238">
        <v>96.83</v>
      </c>
      <c r="E5" s="239">
        <v>91.36</v>
      </c>
      <c r="F5" s="239">
        <v>75</v>
      </c>
      <c r="G5" s="240">
        <v>96.83</v>
      </c>
      <c r="H5" s="244">
        <v>96.83</v>
      </c>
    </row>
    <row r="6" spans="2:8">
      <c r="B6" s="245" t="s">
        <v>96</v>
      </c>
      <c r="C6" s="238">
        <v>96.83</v>
      </c>
      <c r="D6" s="238">
        <v>96.83</v>
      </c>
      <c r="E6" s="239">
        <v>91.36</v>
      </c>
      <c r="F6" s="239">
        <v>75</v>
      </c>
      <c r="G6" s="240">
        <v>96.83</v>
      </c>
      <c r="H6" s="244">
        <v>96.83</v>
      </c>
    </row>
    <row r="7" spans="2:8">
      <c r="B7" s="245" t="s">
        <v>97</v>
      </c>
      <c r="C7" s="238">
        <v>37.72</v>
      </c>
      <c r="D7" s="238">
        <v>37.72</v>
      </c>
      <c r="E7" s="239">
        <v>45.68</v>
      </c>
      <c r="F7" s="239">
        <v>55</v>
      </c>
      <c r="G7" s="240">
        <v>37.72</v>
      </c>
      <c r="H7" s="244">
        <v>37.72</v>
      </c>
    </row>
    <row r="8" spans="2:8">
      <c r="B8" s="137" t="s">
        <v>98</v>
      </c>
      <c r="C8" s="238">
        <v>15</v>
      </c>
      <c r="D8" s="238">
        <v>15</v>
      </c>
      <c r="E8" s="239">
        <v>15</v>
      </c>
      <c r="F8" s="239">
        <v>35</v>
      </c>
      <c r="G8" s="240">
        <v>15</v>
      </c>
      <c r="H8" s="244">
        <v>15</v>
      </c>
    </row>
    <row r="9" spans="2:8">
      <c r="B9" s="245" t="s">
        <v>99</v>
      </c>
      <c r="C9" s="238">
        <v>37.72</v>
      </c>
      <c r="D9" s="238">
        <v>37.72</v>
      </c>
      <c r="E9" s="239">
        <v>35.549999999999997</v>
      </c>
      <c r="F9" s="239">
        <v>35</v>
      </c>
      <c r="G9" s="240">
        <v>37.72</v>
      </c>
      <c r="H9" s="244">
        <v>37.72</v>
      </c>
    </row>
    <row r="10" spans="2:8">
      <c r="B10" s="245" t="s">
        <v>100</v>
      </c>
      <c r="C10" s="238">
        <v>37.72</v>
      </c>
      <c r="D10" s="238">
        <v>37.72</v>
      </c>
      <c r="E10" s="239">
        <v>35.549999999999997</v>
      </c>
      <c r="F10" s="239">
        <v>35</v>
      </c>
      <c r="G10" s="240">
        <v>37.72</v>
      </c>
      <c r="H10" s="244">
        <v>37.72</v>
      </c>
    </row>
    <row r="11" spans="2:8">
      <c r="B11" s="245" t="s">
        <v>108</v>
      </c>
      <c r="C11" s="239">
        <v>15</v>
      </c>
      <c r="D11" s="239">
        <v>15</v>
      </c>
      <c r="E11" s="239">
        <v>10</v>
      </c>
      <c r="F11" s="239">
        <v>35</v>
      </c>
      <c r="G11" s="240">
        <v>30</v>
      </c>
      <c r="H11" s="244">
        <v>30</v>
      </c>
    </row>
    <row r="12" spans="2:8" ht="15" thickBot="1">
      <c r="B12" s="246"/>
      <c r="C12" s="247"/>
      <c r="D12" s="247"/>
      <c r="E12" s="247"/>
      <c r="F12" s="247"/>
      <c r="G12" s="248"/>
      <c r="H12" s="249"/>
    </row>
    <row r="13" spans="2:8" ht="15" thickBot="1"/>
    <row r="14" spans="2:8" ht="38.25">
      <c r="B14" s="251" t="s">
        <v>155</v>
      </c>
      <c r="C14" s="252" t="s">
        <v>105</v>
      </c>
      <c r="D14" s="253" t="s">
        <v>106</v>
      </c>
      <c r="E14" s="265" t="s">
        <v>146</v>
      </c>
      <c r="F14" s="265" t="s">
        <v>147</v>
      </c>
      <c r="G14" s="265" t="s">
        <v>148</v>
      </c>
      <c r="H14" s="266" t="s">
        <v>144</v>
      </c>
    </row>
    <row r="15" spans="2:8">
      <c r="B15" s="254" t="s">
        <v>107</v>
      </c>
      <c r="C15" s="250"/>
      <c r="D15" s="250"/>
      <c r="E15" s="250"/>
      <c r="F15" s="250"/>
      <c r="G15" s="250"/>
      <c r="H15" s="255"/>
    </row>
    <row r="16" spans="2:8">
      <c r="B16" s="245" t="s">
        <v>101</v>
      </c>
      <c r="C16" s="238">
        <v>0.65</v>
      </c>
      <c r="D16" s="238">
        <v>0.65</v>
      </c>
      <c r="E16" s="239">
        <v>0.65</v>
      </c>
      <c r="F16" s="239">
        <v>0.65</v>
      </c>
      <c r="G16" s="240">
        <v>0.65</v>
      </c>
      <c r="H16" s="244">
        <v>0.65</v>
      </c>
    </row>
    <row r="17" spans="2:9">
      <c r="B17" s="245" t="s">
        <v>102</v>
      </c>
      <c r="C17" s="238">
        <v>0.01</v>
      </c>
      <c r="D17" s="238">
        <v>0.01</v>
      </c>
      <c r="E17" s="239">
        <v>0.01</v>
      </c>
      <c r="F17" s="239">
        <v>0.01</v>
      </c>
      <c r="G17" s="240">
        <v>0.02</v>
      </c>
      <c r="H17" s="244">
        <v>0.01</v>
      </c>
    </row>
    <row r="18" spans="2:9">
      <c r="B18" s="245"/>
      <c r="C18" s="238"/>
      <c r="D18" s="238"/>
      <c r="E18" s="239"/>
      <c r="F18" s="239"/>
      <c r="G18" s="240"/>
      <c r="H18" s="244"/>
    </row>
    <row r="19" spans="2:9" ht="15" thickBot="1"/>
    <row r="20" spans="2:9" ht="38.25">
      <c r="B20" s="251" t="s">
        <v>109</v>
      </c>
      <c r="C20" s="252" t="s">
        <v>105</v>
      </c>
      <c r="D20" s="265" t="str">
        <f>ValuationandFeeDB!D2</f>
        <v>Your City</v>
      </c>
      <c r="E20" s="265" t="s">
        <v>146</v>
      </c>
      <c r="F20" s="265" t="s">
        <v>147</v>
      </c>
      <c r="G20" s="265" t="s">
        <v>148</v>
      </c>
      <c r="H20" s="266" t="s">
        <v>144</v>
      </c>
    </row>
    <row r="21" spans="2:9">
      <c r="B21" s="52" t="s">
        <v>110</v>
      </c>
      <c r="C21" s="119"/>
      <c r="D21" s="267" t="str">
        <f>IF(ValuationandFeeDB!C3="","",ValuationandFeeDB!C3)</f>
        <v/>
      </c>
      <c r="E21" s="268"/>
      <c r="F21" s="250"/>
      <c r="G21" s="268"/>
      <c r="H21" s="269"/>
    </row>
    <row r="22" spans="2:9">
      <c r="B22" s="270" t="s">
        <v>111</v>
      </c>
      <c r="C22" s="277"/>
      <c r="D22" s="239"/>
      <c r="E22" s="239"/>
      <c r="F22" s="239">
        <v>984</v>
      </c>
      <c r="G22" s="240">
        <v>50</v>
      </c>
      <c r="H22" s="244">
        <v>225</v>
      </c>
    </row>
    <row r="23" spans="2:9">
      <c r="B23" s="270" t="s">
        <v>112</v>
      </c>
      <c r="C23" s="277"/>
      <c r="D23" s="239"/>
      <c r="E23" s="239">
        <v>460</v>
      </c>
      <c r="F23" s="239"/>
      <c r="G23" s="240">
        <v>1348</v>
      </c>
      <c r="H23" s="244"/>
    </row>
    <row r="24" spans="2:9">
      <c r="B24" s="270" t="s">
        <v>145</v>
      </c>
      <c r="C24" s="277"/>
      <c r="D24" s="239"/>
      <c r="E24" s="239">
        <v>1000</v>
      </c>
      <c r="F24" s="239"/>
      <c r="G24" s="240"/>
      <c r="H24" s="244">
        <v>1000</v>
      </c>
    </row>
    <row r="25" spans="2:9">
      <c r="B25" s="270" t="s">
        <v>113</v>
      </c>
      <c r="C25" s="277"/>
      <c r="D25" s="239"/>
      <c r="E25" s="239"/>
      <c r="F25" s="239">
        <v>712</v>
      </c>
      <c r="G25" s="240"/>
      <c r="H25" s="244"/>
    </row>
    <row r="26" spans="2:9">
      <c r="B26" s="270" t="s">
        <v>114</v>
      </c>
      <c r="C26" s="277"/>
      <c r="D26" s="239"/>
      <c r="E26" s="239">
        <v>1010</v>
      </c>
      <c r="F26" s="239"/>
      <c r="G26" s="240"/>
      <c r="H26" s="244"/>
    </row>
    <row r="27" spans="2:9">
      <c r="B27" s="270" t="s">
        <v>115</v>
      </c>
      <c r="C27" s="277"/>
      <c r="D27" s="239"/>
      <c r="E27" s="239"/>
      <c r="F27" s="239"/>
      <c r="G27" s="240"/>
      <c r="H27" s="244"/>
    </row>
    <row r="28" spans="2:9">
      <c r="B28" s="270" t="s">
        <v>149</v>
      </c>
      <c r="C28" s="277"/>
      <c r="D28" s="239"/>
      <c r="E28" s="301">
        <f>VLOOKUP(WaterLineSize,WaterConnectionDB,4,FALSE)</f>
        <v>200</v>
      </c>
      <c r="F28" s="301">
        <f>VLOOKUP(WaterLineSize,WaterConnectionDB,5,FALSE)</f>
        <v>1078</v>
      </c>
      <c r="G28" s="302">
        <f>VLOOKUP(WaterLineSize,WaterConnectionDB,6,FALSE)</f>
        <v>892</v>
      </c>
      <c r="H28" s="303">
        <f>VLOOKUP(WaterLineSize,WaterConnectionDB,7,FALSE)</f>
        <v>450</v>
      </c>
      <c r="I28" s="279" t="str">
        <f>WaterLineSize</f>
        <v>3/4"</v>
      </c>
    </row>
    <row r="29" spans="2:9">
      <c r="B29" s="270" t="s">
        <v>116</v>
      </c>
      <c r="C29" s="277"/>
      <c r="D29" s="239"/>
      <c r="E29" s="239">
        <v>940</v>
      </c>
      <c r="F29" s="239"/>
      <c r="G29" s="240">
        <v>200</v>
      </c>
      <c r="H29" s="244">
        <v>765</v>
      </c>
    </row>
    <row r="30" spans="2:9">
      <c r="B30" s="270" t="s">
        <v>117</v>
      </c>
      <c r="C30" s="277"/>
      <c r="D30" s="239"/>
      <c r="E30" s="239"/>
      <c r="F30" s="239"/>
      <c r="G30" s="240"/>
      <c r="H30" s="244"/>
    </row>
    <row r="31" spans="2:9">
      <c r="B31" s="270" t="s">
        <v>118</v>
      </c>
      <c r="C31" s="277"/>
      <c r="D31" s="239"/>
      <c r="E31" s="239">
        <v>540</v>
      </c>
      <c r="F31" s="239">
        <v>185</v>
      </c>
      <c r="G31" s="240"/>
      <c r="H31" s="244"/>
    </row>
    <row r="32" spans="2:9">
      <c r="B32" s="270" t="s">
        <v>119</v>
      </c>
      <c r="C32" s="277"/>
      <c r="D32" s="239"/>
      <c r="E32" s="239">
        <v>233</v>
      </c>
      <c r="F32" s="239">
        <v>641</v>
      </c>
      <c r="G32" s="240"/>
      <c r="H32" s="244"/>
    </row>
    <row r="33" spans="2:8">
      <c r="B33" s="243" t="s">
        <v>120</v>
      </c>
      <c r="C33" s="237"/>
      <c r="D33" s="239"/>
      <c r="E33" s="239">
        <v>700</v>
      </c>
      <c r="F33" s="239">
        <v>2625</v>
      </c>
      <c r="G33" s="240">
        <v>1182</v>
      </c>
      <c r="H33" s="244">
        <v>755</v>
      </c>
    </row>
    <row r="34" spans="2:8">
      <c r="B34" s="270" t="s">
        <v>121</v>
      </c>
      <c r="C34" s="277"/>
      <c r="D34" s="239"/>
      <c r="E34" s="239"/>
      <c r="F34" s="239"/>
      <c r="G34" s="240"/>
      <c r="H34" s="244">
        <v>102</v>
      </c>
    </row>
    <row r="35" spans="2:8">
      <c r="B35" s="270" t="s">
        <v>122</v>
      </c>
      <c r="C35" s="277"/>
      <c r="D35" s="239"/>
      <c r="E35" s="239"/>
      <c r="F35" s="239">
        <v>3000</v>
      </c>
      <c r="G35" s="240">
        <v>1000</v>
      </c>
      <c r="H35" s="244"/>
    </row>
    <row r="36" spans="2:8">
      <c r="B36" s="270" t="s">
        <v>123</v>
      </c>
      <c r="C36" s="277"/>
      <c r="D36" s="239"/>
      <c r="E36" s="239">
        <v>80</v>
      </c>
      <c r="F36" s="239"/>
      <c r="G36" s="240"/>
      <c r="H36" s="244"/>
    </row>
    <row r="37" spans="2:8">
      <c r="B37" s="270" t="s">
        <v>124</v>
      </c>
      <c r="C37" s="277"/>
      <c r="D37" s="239"/>
      <c r="E37" s="239"/>
      <c r="F37" s="239">
        <v>120</v>
      </c>
      <c r="G37" s="240">
        <v>50</v>
      </c>
      <c r="H37" s="244">
        <v>30</v>
      </c>
    </row>
    <row r="38" spans="2:8">
      <c r="B38" s="270" t="s">
        <v>126</v>
      </c>
      <c r="C38" s="277"/>
      <c r="D38" s="239"/>
      <c r="E38" s="239"/>
      <c r="F38" s="239"/>
      <c r="G38" s="240"/>
      <c r="H38" s="244"/>
    </row>
    <row r="39" spans="2:8">
      <c r="B39" s="270" t="s">
        <v>127</v>
      </c>
      <c r="C39" s="277"/>
      <c r="D39" s="239"/>
      <c r="E39" s="239">
        <v>100</v>
      </c>
      <c r="F39" s="239"/>
      <c r="G39" s="240"/>
      <c r="H39" s="244"/>
    </row>
    <row r="40" spans="2:8">
      <c r="B40" s="270" t="s">
        <v>128</v>
      </c>
      <c r="C40" s="277"/>
      <c r="D40" s="239"/>
      <c r="E40" s="239"/>
      <c r="F40" s="239"/>
      <c r="G40" s="240"/>
      <c r="H40" s="244"/>
    </row>
    <row r="41" spans="2:8">
      <c r="B41" s="270" t="s">
        <v>129</v>
      </c>
      <c r="C41" s="277"/>
      <c r="D41" s="239"/>
      <c r="E41" s="239"/>
      <c r="F41" s="239"/>
      <c r="G41" s="240">
        <v>7.5</v>
      </c>
      <c r="H41" s="244">
        <v>6</v>
      </c>
    </row>
    <row r="42" spans="2:8">
      <c r="B42" s="270" t="s">
        <v>130</v>
      </c>
      <c r="C42" s="277"/>
      <c r="D42" s="239"/>
      <c r="E42" s="239">
        <v>20</v>
      </c>
      <c r="F42" s="239">
        <v>17</v>
      </c>
      <c r="G42" s="240"/>
      <c r="H42" s="244"/>
    </row>
    <row r="43" spans="2:8">
      <c r="B43" s="270" t="s">
        <v>131</v>
      </c>
      <c r="C43" s="277"/>
      <c r="D43" s="239"/>
      <c r="E43" s="239"/>
      <c r="F43" s="239"/>
      <c r="G43" s="240"/>
      <c r="H43" s="244"/>
    </row>
    <row r="44" spans="2:8">
      <c r="B44" s="270" t="s">
        <v>132</v>
      </c>
      <c r="C44" s="277"/>
      <c r="D44" s="239"/>
      <c r="E44" s="239"/>
      <c r="F44" s="239"/>
      <c r="G44" s="240"/>
      <c r="H44" s="244"/>
    </row>
    <row r="45" spans="2:8">
      <c r="B45" s="243" t="s">
        <v>133</v>
      </c>
      <c r="C45" s="237"/>
      <c r="D45" s="239"/>
      <c r="E45" s="239"/>
      <c r="F45" s="239"/>
      <c r="G45" s="240">
        <v>22.5</v>
      </c>
      <c r="H45" s="244">
        <v>18.5</v>
      </c>
    </row>
    <row r="46" spans="2:8">
      <c r="B46" s="270" t="s">
        <v>134</v>
      </c>
      <c r="C46" s="277"/>
      <c r="D46" s="239"/>
      <c r="E46" s="239">
        <v>13.5</v>
      </c>
      <c r="F46" s="239"/>
      <c r="G46" s="240"/>
      <c r="H46" s="244"/>
    </row>
    <row r="47" spans="2:8">
      <c r="B47" s="270" t="s">
        <v>135</v>
      </c>
      <c r="C47" s="277"/>
      <c r="D47" s="239"/>
      <c r="E47" s="239">
        <v>1020</v>
      </c>
      <c r="F47" s="239">
        <v>789</v>
      </c>
      <c r="G47" s="240"/>
      <c r="H47" s="244"/>
    </row>
    <row r="48" spans="2:8">
      <c r="B48" s="270" t="s">
        <v>136</v>
      </c>
      <c r="C48" s="277"/>
      <c r="D48" s="239"/>
      <c r="E48" s="239"/>
      <c r="F48" s="239">
        <v>225</v>
      </c>
      <c r="G48" s="240"/>
      <c r="H48" s="244">
        <v>24</v>
      </c>
    </row>
    <row r="49" spans="2:8">
      <c r="B49" s="270" t="s">
        <v>137</v>
      </c>
      <c r="C49" s="277"/>
      <c r="D49" s="239"/>
      <c r="E49" s="239"/>
      <c r="F49" s="239"/>
      <c r="G49" s="240"/>
      <c r="H49" s="244"/>
    </row>
    <row r="50" spans="2:8" ht="15" thickBot="1">
      <c r="B50" s="270"/>
      <c r="C50" s="277"/>
      <c r="D50" s="239"/>
      <c r="E50" s="239"/>
      <c r="F50" s="239"/>
      <c r="G50" s="240"/>
      <c r="H50" s="244"/>
    </row>
    <row r="51" spans="2:8" ht="15.75" thickBot="1">
      <c r="B51" s="261" t="s">
        <v>138</v>
      </c>
      <c r="C51" s="278"/>
      <c r="D51" s="262">
        <f>SUM(D22:D49)</f>
        <v>0</v>
      </c>
      <c r="E51" s="262">
        <f>SUM(E22:E49)</f>
        <v>6316.5</v>
      </c>
      <c r="F51" s="263">
        <f>SUM(F22:F49)</f>
        <v>10376</v>
      </c>
      <c r="G51" s="263">
        <f>SUM(G22:G49)</f>
        <v>4752</v>
      </c>
      <c r="H51" s="264">
        <f>SUM(H22:H49)</f>
        <v>3375.5</v>
      </c>
    </row>
    <row r="52" spans="2:8" ht="15" thickBot="1">
      <c r="B52" s="49"/>
      <c r="C52" s="49"/>
      <c r="D52" s="241"/>
      <c r="E52" s="241"/>
      <c r="F52" s="56"/>
      <c r="G52" s="56"/>
      <c r="H52" s="56"/>
    </row>
    <row r="53" spans="2:8" ht="16.5" thickBot="1">
      <c r="B53" s="295" t="s">
        <v>139</v>
      </c>
      <c r="C53" s="241"/>
      <c r="D53" s="241"/>
      <c r="E53" s="241"/>
      <c r="F53" s="56"/>
      <c r="G53" s="56"/>
      <c r="H53" s="56"/>
    </row>
    <row r="54" spans="2:8">
      <c r="B54" s="297" t="s">
        <v>140</v>
      </c>
      <c r="C54" s="298"/>
      <c r="D54" s="256"/>
      <c r="E54" s="256">
        <v>200</v>
      </c>
      <c r="F54" s="256">
        <v>1078</v>
      </c>
      <c r="G54" s="257">
        <v>892</v>
      </c>
      <c r="H54" s="258">
        <v>450</v>
      </c>
    </row>
    <row r="55" spans="2:8">
      <c r="B55" s="270" t="s">
        <v>141</v>
      </c>
      <c r="C55" s="296"/>
      <c r="D55" s="239"/>
      <c r="E55" s="239">
        <v>310</v>
      </c>
      <c r="F55" s="239">
        <v>1781</v>
      </c>
      <c r="G55" s="240">
        <v>1070</v>
      </c>
      <c r="H55" s="244">
        <v>500</v>
      </c>
    </row>
    <row r="56" spans="2:8">
      <c r="B56" s="270" t="s">
        <v>142</v>
      </c>
      <c r="C56" s="296"/>
      <c r="D56" s="239"/>
      <c r="E56" s="239">
        <v>1500</v>
      </c>
      <c r="F56" s="240"/>
      <c r="G56" s="240">
        <v>2450</v>
      </c>
      <c r="H56" s="244">
        <v>1775</v>
      </c>
    </row>
    <row r="57" spans="2:8" ht="15" thickBot="1">
      <c r="B57" s="299" t="s">
        <v>143</v>
      </c>
      <c r="C57" s="300"/>
      <c r="D57" s="247"/>
      <c r="E57" s="247">
        <v>3500</v>
      </c>
      <c r="F57" s="248"/>
      <c r="G57" s="248">
        <v>4500</v>
      </c>
      <c r="H57" s="249">
        <v>3200</v>
      </c>
    </row>
  </sheetData>
  <hyperlinks>
    <hyperlink ref="I28" location="WaterLineSize" display="WaterLineSize"/>
  </hyperlinks>
  <pageMargins left="0.7" right="0.7" top="0.75" bottom="0.75" header="0.3" footer="0.3"/>
  <pageSetup orientation="portrait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I13"/>
  <sheetViews>
    <sheetView workbookViewId="0">
      <selection activeCell="H4" sqref="H4:H11"/>
    </sheetView>
  </sheetViews>
  <sheetFormatPr defaultRowHeight="14.25"/>
  <cols>
    <col min="1" max="1" width="1.375" customWidth="1"/>
    <col min="2" max="2" width="21.875" customWidth="1"/>
    <col min="3" max="3" width="15.375" customWidth="1"/>
    <col min="4" max="4" width="10.125" bestFit="1" customWidth="1"/>
    <col min="5" max="5" width="11.125" bestFit="1" customWidth="1"/>
    <col min="6" max="6" width="8.875" bestFit="1" customWidth="1"/>
    <col min="7" max="7" width="11.25" customWidth="1"/>
    <col min="8" max="8" width="10.125" style="289" bestFit="1" customWidth="1"/>
    <col min="9" max="9" width="10.125" bestFit="1" customWidth="1"/>
  </cols>
  <sheetData>
    <row r="1" spans="1:9" ht="8.25" customHeight="1">
      <c r="A1" s="208"/>
      <c r="C1" s="208"/>
      <c r="D1" s="208"/>
      <c r="E1" s="208"/>
      <c r="F1" s="208"/>
      <c r="G1" s="208"/>
      <c r="H1" s="318"/>
    </row>
    <row r="2" spans="1:9" ht="34.5" customHeight="1" thickBot="1">
      <c r="A2" s="49"/>
      <c r="B2" s="209" t="s">
        <v>85</v>
      </c>
      <c r="C2" s="56"/>
      <c r="D2" s="56"/>
      <c r="E2" s="224"/>
      <c r="F2" s="224"/>
      <c r="G2" s="224"/>
      <c r="H2" s="319"/>
    </row>
    <row r="3" spans="1:9" ht="39" thickBot="1">
      <c r="A3" s="210"/>
      <c r="B3" s="225" t="s">
        <v>86</v>
      </c>
      <c r="C3" s="226" t="s">
        <v>87</v>
      </c>
      <c r="D3" s="227" t="s">
        <v>88</v>
      </c>
      <c r="E3" s="228" t="s">
        <v>89</v>
      </c>
      <c r="F3" s="229" t="s">
        <v>90</v>
      </c>
      <c r="G3" s="230" t="s">
        <v>91</v>
      </c>
      <c r="H3" s="320"/>
    </row>
    <row r="4" spans="1:9">
      <c r="A4" s="49"/>
      <c r="B4" s="211">
        <v>1</v>
      </c>
      <c r="C4" s="212">
        <v>500</v>
      </c>
      <c r="D4" s="213">
        <v>23.5</v>
      </c>
      <c r="E4" s="212">
        <v>1</v>
      </c>
      <c r="F4" s="214">
        <v>0</v>
      </c>
      <c r="G4" s="215">
        <v>1</v>
      </c>
      <c r="H4" s="319" t="str">
        <f t="shared" ref="H4:H11" si="0">IF(AND(TotalValuation&gt;=B4,TotalValuation&lt;=C4),D4+ROUNDUP((TotalValuation-E4)/G4,0)*F4,"")</f>
        <v/>
      </c>
    </row>
    <row r="5" spans="1:9">
      <c r="A5" s="49"/>
      <c r="B5" s="216">
        <v>501</v>
      </c>
      <c r="C5" s="217">
        <v>2000</v>
      </c>
      <c r="D5" s="218">
        <v>23.5</v>
      </c>
      <c r="E5" s="217">
        <v>500</v>
      </c>
      <c r="F5" s="219">
        <v>3.05</v>
      </c>
      <c r="G5" s="220">
        <v>100</v>
      </c>
      <c r="H5" s="319" t="str">
        <f t="shared" si="0"/>
        <v/>
      </c>
    </row>
    <row r="6" spans="1:9">
      <c r="A6" s="49"/>
      <c r="B6" s="216">
        <v>2001</v>
      </c>
      <c r="C6" s="217">
        <v>25000</v>
      </c>
      <c r="D6" s="218">
        <v>69.25</v>
      </c>
      <c r="E6" s="217">
        <v>2000</v>
      </c>
      <c r="F6" s="219">
        <v>14</v>
      </c>
      <c r="G6" s="220">
        <v>1000</v>
      </c>
      <c r="H6" s="319" t="str">
        <f t="shared" si="0"/>
        <v/>
      </c>
    </row>
    <row r="7" spans="1:9">
      <c r="A7" s="49"/>
      <c r="B7" s="216">
        <v>25001</v>
      </c>
      <c r="C7" s="217">
        <v>50000</v>
      </c>
      <c r="D7" s="218">
        <v>391.25</v>
      </c>
      <c r="E7" s="217">
        <v>25000</v>
      </c>
      <c r="F7" s="221">
        <v>10.1</v>
      </c>
      <c r="G7" s="220">
        <v>1000</v>
      </c>
      <c r="H7" s="319" t="str">
        <f t="shared" si="0"/>
        <v/>
      </c>
    </row>
    <row r="8" spans="1:9">
      <c r="A8" s="49"/>
      <c r="B8" s="216">
        <v>50001</v>
      </c>
      <c r="C8" s="217">
        <v>100000</v>
      </c>
      <c r="D8" s="218">
        <v>643.75</v>
      </c>
      <c r="E8" s="217">
        <v>50000</v>
      </c>
      <c r="F8" s="219">
        <v>7</v>
      </c>
      <c r="G8" s="220">
        <v>1000</v>
      </c>
      <c r="H8" s="319" t="str">
        <f t="shared" si="0"/>
        <v/>
      </c>
    </row>
    <row r="9" spans="1:9">
      <c r="A9" s="49"/>
      <c r="B9" s="216">
        <v>100001</v>
      </c>
      <c r="C9" s="217">
        <v>500000</v>
      </c>
      <c r="D9" s="218">
        <v>993.75</v>
      </c>
      <c r="E9" s="217">
        <v>100000</v>
      </c>
      <c r="F9" s="219">
        <v>5.6</v>
      </c>
      <c r="G9" s="220">
        <v>1000</v>
      </c>
      <c r="H9" s="319">
        <f>IF(AND(TotalValuation&gt;=B9,TotalValuation&lt;=C9),D9+ROUNDUP((TotalValuation-E9)/G9,0)*F9,"")</f>
        <v>2158.5500000000002</v>
      </c>
      <c r="I9" s="173"/>
    </row>
    <row r="10" spans="1:9">
      <c r="A10" s="49"/>
      <c r="B10" s="216">
        <v>500001</v>
      </c>
      <c r="C10" s="217">
        <v>1000000</v>
      </c>
      <c r="D10" s="218">
        <v>3233.75</v>
      </c>
      <c r="E10" s="217">
        <v>500000</v>
      </c>
      <c r="F10" s="219">
        <v>4.75</v>
      </c>
      <c r="G10" s="220">
        <v>1000</v>
      </c>
      <c r="H10" s="319" t="str">
        <f t="shared" si="0"/>
        <v/>
      </c>
    </row>
    <row r="11" spans="1:9" ht="15" thickBot="1">
      <c r="A11" s="49"/>
      <c r="B11" s="216">
        <v>1000001</v>
      </c>
      <c r="C11" s="217">
        <v>1000000000</v>
      </c>
      <c r="D11" s="218">
        <v>5608.75</v>
      </c>
      <c r="E11" s="217">
        <v>1000000</v>
      </c>
      <c r="F11" s="219">
        <v>3.65</v>
      </c>
      <c r="G11" s="220">
        <v>1000</v>
      </c>
      <c r="H11" s="321" t="str">
        <f t="shared" si="0"/>
        <v/>
      </c>
    </row>
    <row r="12" spans="1:9" ht="15">
      <c r="A12" s="49"/>
      <c r="B12" s="222"/>
      <c r="C12" s="222"/>
      <c r="D12" s="222"/>
      <c r="E12" s="223"/>
      <c r="F12" s="223"/>
      <c r="G12" s="304" t="s">
        <v>125</v>
      </c>
      <c r="H12" s="322">
        <f>SUM(H4:H11)</f>
        <v>2158.5500000000002</v>
      </c>
    </row>
    <row r="13" spans="1:9">
      <c r="B13" t="s">
        <v>154</v>
      </c>
      <c r="C13" s="317">
        <f>TotalValuation</f>
        <v>307750</v>
      </c>
    </row>
  </sheetData>
  <hyperlinks>
    <hyperlink ref="C13" location="TotalValuation" display="TotalValuation"/>
  </hyperlink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34</vt:i4>
      </vt:variant>
    </vt:vector>
  </HeadingPairs>
  <TitlesOfParts>
    <vt:vector size="42" baseType="lpstr">
      <vt:lpstr>Flatwork</vt:lpstr>
      <vt:lpstr>Flatwork (Completed)</vt:lpstr>
      <vt:lpstr>Sales Tax</vt:lpstr>
      <vt:lpstr>Footing</vt:lpstr>
      <vt:lpstr>FootingDB</vt:lpstr>
      <vt:lpstr>PermitConnectionFees</vt:lpstr>
      <vt:lpstr>ValuationandFeeDB</vt:lpstr>
      <vt:lpstr>PermitCodeDB</vt:lpstr>
      <vt:lpstr>Cities</vt:lpstr>
      <vt:lpstr>City</vt:lpstr>
      <vt:lpstr>'Flatwork (Completed)'!ConcreteDB</vt:lpstr>
      <vt:lpstr>ConcreteDB</vt:lpstr>
      <vt:lpstr>'Flatwork (Completed)'!ConcreteMatSuppliers</vt:lpstr>
      <vt:lpstr>ConnectionDB</vt:lpstr>
      <vt:lpstr>ConnectionList</vt:lpstr>
      <vt:lpstr>FlatworkConcreteSupplier</vt:lpstr>
      <vt:lpstr>FlatworkConcreteWaste</vt:lpstr>
      <vt:lpstr>FlatworkLaborDB</vt:lpstr>
      <vt:lpstr>FlatworkLaborList</vt:lpstr>
      <vt:lpstr>FlatworkLaborTrade</vt:lpstr>
      <vt:lpstr>FlatworkLaborTrades</vt:lpstr>
      <vt:lpstr>FootingList</vt:lpstr>
      <vt:lpstr>FtgDB</vt:lpstr>
      <vt:lpstr>FTGRebarMiscDB</vt:lpstr>
      <vt:lpstr>FTGRebarMiscList</vt:lpstr>
      <vt:lpstr>JBarSpacing</vt:lpstr>
      <vt:lpstr>LFBar</vt:lpstr>
      <vt:lpstr>Num_of_bars</vt:lpstr>
      <vt:lpstr>PermitDataDB</vt:lpstr>
      <vt:lpstr>PermitFee</vt:lpstr>
      <vt:lpstr>'Flatwork (Completed)'!PSIList</vt:lpstr>
      <vt:lpstr>Sales_Tax</vt:lpstr>
      <vt:lpstr>TotalValuation</vt:lpstr>
      <vt:lpstr>TotConnectFees</vt:lpstr>
      <vt:lpstr>TotCY</vt:lpstr>
      <vt:lpstr>ValuationDB</vt:lpstr>
      <vt:lpstr>ValuationList</vt:lpstr>
      <vt:lpstr>Waste</vt:lpstr>
      <vt:lpstr>WaterConnectionDB</vt:lpstr>
      <vt:lpstr>WaterLineSize</vt:lpstr>
      <vt:lpstr>WaterLineSizeCheck</vt:lpstr>
      <vt:lpstr>WaterLineSizes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Christofferson</dc:creator>
  <cp:lastModifiedBy>Jay Christofferson</cp:lastModifiedBy>
  <cp:lastPrinted>2008-12-25T08:18:53Z</cp:lastPrinted>
  <dcterms:created xsi:type="dcterms:W3CDTF">2008-10-10T19:53:29Z</dcterms:created>
  <dcterms:modified xsi:type="dcterms:W3CDTF">2009-06-25T14:54:46Z</dcterms:modified>
</cp:coreProperties>
</file>