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8800" windowHeight="17535" tabRatio="807" activeTab="0"/>
  </bookViews>
  <sheets>
    <sheet name="General Instructions" sheetId="1" r:id="rId1"/>
    <sheet name="Dashboard" sheetId="2" r:id="rId2"/>
    <sheet name="A&amp;D Costs" sheetId="3" r:id="rId3"/>
    <sheet name="A&amp;D Financing" sheetId="4" r:id="rId4"/>
    <sheet name="A&amp;D Op Exp" sheetId="5" r:id="rId5"/>
    <sheet name="A&amp;D Returns" sheetId="6" r:id="rId6"/>
    <sheet name="Lot Sales" sheetId="7" r:id="rId7"/>
    <sheet name="A&amp;D Calculations" sheetId="8" state="hidden" r:id="rId8"/>
    <sheet name="A&amp;D Pro Forma" sheetId="9" r:id="rId9"/>
    <sheet name="A&amp;D Pro Forma Incentives" sheetId="10" r:id="rId10"/>
    <sheet name="A&amp;D Pro Forma No IZ" sheetId="11" r:id="rId11"/>
    <sheet name="Construction Costs" sheetId="12" r:id="rId12"/>
    <sheet name="Con Financing" sheetId="13" r:id="rId13"/>
    <sheet name="Con Op Exp" sheetId="14" r:id="rId14"/>
    <sheet name="Con Sales" sheetId="15" r:id="rId15"/>
    <sheet name="Con Calculations" sheetId="16" state="hidden" r:id="rId16"/>
    <sheet name="Lot Price Calculation" sheetId="17" r:id="rId17"/>
    <sheet name="Pro Forma Const." sheetId="18" r:id="rId18"/>
    <sheet name="Pro Forma Const. Incentives" sheetId="19" r:id="rId19"/>
  </sheets>
  <definedNames>
    <definedName name="_xlfn.IFERROR" hidden="1">#NAME?</definedName>
  </definedNames>
  <calcPr fullCalcOnLoad="1"/>
</workbook>
</file>

<file path=xl/sharedStrings.xml><?xml version="1.0" encoding="utf-8"?>
<sst xmlns="http://schemas.openxmlformats.org/spreadsheetml/2006/main" count="644" uniqueCount="306">
  <si>
    <t>With Incentives</t>
  </si>
  <si>
    <t>Brokerage Fee</t>
  </si>
  <si>
    <t>Property Tax</t>
  </si>
  <si>
    <t>UNIT SUMMARY</t>
  </si>
  <si>
    <t>No Incentives</t>
  </si>
  <si>
    <t>Market Units</t>
  </si>
  <si>
    <t>Affordable Units</t>
  </si>
  <si>
    <t>TOTAL UNITS</t>
  </si>
  <si>
    <t>Total Cost</t>
  </si>
  <si>
    <t>Landscaping</t>
  </si>
  <si>
    <t>Closing Cost</t>
  </si>
  <si>
    <t>Interest Rate</t>
  </si>
  <si>
    <t>Year</t>
  </si>
  <si>
    <t>Net Revenues</t>
  </si>
  <si>
    <t>Net Proceeds</t>
  </si>
  <si>
    <t>Other</t>
  </si>
  <si>
    <t>Paving</t>
  </si>
  <si>
    <t>Electrical</t>
  </si>
  <si>
    <t>Number of lots</t>
  </si>
  <si>
    <t>Cost of Land</t>
  </si>
  <si>
    <t>Income</t>
  </si>
  <si>
    <t>Lots</t>
  </si>
  <si>
    <t>Engineering</t>
  </si>
  <si>
    <t>Zoning</t>
  </si>
  <si>
    <t>Staking</t>
  </si>
  <si>
    <t>Development</t>
  </si>
  <si>
    <t>Months</t>
  </si>
  <si>
    <t>Loan Amount</t>
  </si>
  <si>
    <t>Total Project Cost</t>
  </si>
  <si>
    <t>Required Affordable</t>
  </si>
  <si>
    <t>HOA Upfront</t>
  </si>
  <si>
    <t>Earthwork</t>
  </si>
  <si>
    <t>Erosion Control</t>
  </si>
  <si>
    <t>Water Main</t>
  </si>
  <si>
    <t>Storm Sewer</t>
  </si>
  <si>
    <t>Total A&amp;D Cost</t>
  </si>
  <si>
    <t>Sales Revenue</t>
  </si>
  <si>
    <t>Loan Outstanding</t>
  </si>
  <si>
    <t>Draw</t>
  </si>
  <si>
    <t>Loan Repayment</t>
  </si>
  <si>
    <t>Debt Service</t>
  </si>
  <si>
    <t>Acquisition and Development</t>
  </si>
  <si>
    <t>Acquisition</t>
  </si>
  <si>
    <t>A&amp;D Total</t>
  </si>
  <si>
    <t>OR</t>
  </si>
  <si>
    <t>Acquisition Cost</t>
  </si>
  <si>
    <t>Development Cost</t>
  </si>
  <si>
    <t>Lots Fully Sold?</t>
  </si>
  <si>
    <t>Interest Accrued</t>
  </si>
  <si>
    <t>Lot Sale Price</t>
  </si>
  <si>
    <t>Operating Expenses</t>
  </si>
  <si>
    <t>Total</t>
  </si>
  <si>
    <t>OpEx Summary</t>
  </si>
  <si>
    <t>Market Price</t>
  </si>
  <si>
    <t>Affordable Price</t>
  </si>
  <si>
    <t>Loan Repayments</t>
  </si>
  <si>
    <t>Sanitary Swer</t>
  </si>
  <si>
    <t>Other / Miscellaneous</t>
  </si>
  <si>
    <t>Management Cost</t>
  </si>
  <si>
    <t>Debt Parameters</t>
  </si>
  <si>
    <t>Sales Schedule (Years)</t>
  </si>
  <si>
    <t>Planning Summary</t>
  </si>
  <si>
    <t>Sales Summary</t>
  </si>
  <si>
    <t>Project Information</t>
  </si>
  <si>
    <t>Project Name</t>
  </si>
  <si>
    <t>Street Address</t>
  </si>
  <si>
    <t>City, State Zip</t>
  </si>
  <si>
    <t>123 Development Lane</t>
  </si>
  <si>
    <t>Washington, D.C. 20005</t>
  </si>
  <si>
    <t>IZ Property, Inc.</t>
  </si>
  <si>
    <t>PROJECT INFORMATION</t>
  </si>
  <si>
    <t>In-Lieu Fees</t>
  </si>
  <si>
    <t>A&amp;D Financing Summary</t>
  </si>
  <si>
    <t>Equity Amount</t>
  </si>
  <si>
    <t>Const. Financing Summary</t>
  </si>
  <si>
    <t>A&amp;D</t>
  </si>
  <si>
    <t>Construction Time (Months)</t>
  </si>
  <si>
    <t>Required Const. Profit Margin</t>
  </si>
  <si>
    <t>Lot Cost</t>
  </si>
  <si>
    <t>Market</t>
  </si>
  <si>
    <t>Affordable</t>
  </si>
  <si>
    <t>% Completed</t>
  </si>
  <si>
    <t>Suggestions</t>
  </si>
  <si>
    <t>Loan Amount Per Home</t>
  </si>
  <si>
    <t>Construction Per Home</t>
  </si>
  <si>
    <t>% of Home Completed</t>
  </si>
  <si>
    <t>Operating Expenses Per Home Per Month</t>
  </si>
  <si>
    <t>No Incentives - Market Rate</t>
  </si>
  <si>
    <t>No Incentives - Affordable</t>
  </si>
  <si>
    <t>With Incentives - Market Rate</t>
  </si>
  <si>
    <t>OpEx Summary Per Home Per Month</t>
  </si>
  <si>
    <t>Loan Fees / Points</t>
  </si>
  <si>
    <t>Financed by Equity</t>
  </si>
  <si>
    <t>Development Costs</t>
  </si>
  <si>
    <t>Fully Incurred?</t>
  </si>
  <si>
    <t>Total Loan Drawn within</t>
  </si>
  <si>
    <t>Loan-to-Cost Limit?</t>
  </si>
  <si>
    <t>Percent of Construction Costs</t>
  </si>
  <si>
    <t>Incurred By Month</t>
  </si>
  <si>
    <t>With Incentives - Market</t>
  </si>
  <si>
    <t>With Incentives - Affordable</t>
  </si>
  <si>
    <t>No Incentives - Market</t>
  </si>
  <si>
    <t>Loan Fees</t>
  </si>
  <si>
    <t>Carrying Cost</t>
  </si>
  <si>
    <t>Loan Draw - A&amp;D</t>
  </si>
  <si>
    <t>Reserves</t>
  </si>
  <si>
    <t>Financed by Equity - A&amp;D</t>
  </si>
  <si>
    <t>Market-Rate Lots</t>
  </si>
  <si>
    <t>Affordable Lots</t>
  </si>
  <si>
    <t>A&amp;D Cost - Equity Financing</t>
  </si>
  <si>
    <t>A&amp;D Cost - Loan Draws</t>
  </si>
  <si>
    <t>Total Equity Financing for Project</t>
  </si>
  <si>
    <t>Reference costs per square foot (for an average 2000 sq ft 2-story Home)</t>
  </si>
  <si>
    <t>Site Work</t>
  </si>
  <si>
    <t>Foundation</t>
  </si>
  <si>
    <t>slab</t>
  </si>
  <si>
    <t>Framing</t>
  </si>
  <si>
    <t>wood frame, no garage</t>
  </si>
  <si>
    <t>Exterior Walls</t>
  </si>
  <si>
    <t>wood siding</t>
  </si>
  <si>
    <t>Roofing</t>
  </si>
  <si>
    <t>asphalt shingles</t>
  </si>
  <si>
    <t>Interiors</t>
  </si>
  <si>
    <t>wallboard, paint, flooring</t>
  </si>
  <si>
    <t xml:space="preserve">Specialties not inlcuded above </t>
  </si>
  <si>
    <t>cabinets, counters, water heater</t>
  </si>
  <si>
    <t>Mechanical</t>
  </si>
  <si>
    <t>one bath; hot air; no AC</t>
  </si>
  <si>
    <t>Other Cost of Sales</t>
  </si>
  <si>
    <t xml:space="preserve">Architecture &amp; engineering </t>
  </si>
  <si>
    <t>Sales &amp; marketing</t>
  </si>
  <si>
    <t>General expenses &amp; overhead</t>
  </si>
  <si>
    <t>Cost as a % of Sale Price</t>
  </si>
  <si>
    <t>Cost PSF of Living Area</t>
  </si>
  <si>
    <t>Cost Per Home</t>
  </si>
  <si>
    <t xml:space="preserve">Suggested schedule for </t>
  </si>
  <si>
    <t>Construction Costs Incurred</t>
  </si>
  <si>
    <r>
      <t>Source: Cost of Constructing a Home</t>
    </r>
    <r>
      <rPr>
        <sz val="11"/>
        <color theme="1"/>
        <rFont val="Calibri"/>
        <family val="2"/>
      </rPr>
      <t>, NAHB 2017.</t>
    </r>
  </si>
  <si>
    <t>Construction Inputs - Affordable</t>
  </si>
  <si>
    <t>Construction Inputs - Market</t>
  </si>
  <si>
    <t>Construction Costs</t>
  </si>
  <si>
    <t>Market - Size of Home in Sq. Ft. (Optional)</t>
  </si>
  <si>
    <t>Affordable - Size of Home in Sq. Ft. (Optional)</t>
  </si>
  <si>
    <t>Final Suggested Market Lot Price</t>
  </si>
  <si>
    <t>Final Suggested Affordable Lot Price</t>
  </si>
  <si>
    <t>Per Lot Calculated Pricing Recommendation</t>
  </si>
  <si>
    <t>Time on Market</t>
  </si>
  <si>
    <t>Total Lot &amp; Construction Cost Per Home</t>
  </si>
  <si>
    <t>Equity Amount Per Home (Lot &amp; Construction)</t>
  </si>
  <si>
    <t>Profit Margin</t>
  </si>
  <si>
    <t>Revenue Less Equity</t>
  </si>
  <si>
    <t>Equit</t>
  </si>
  <si>
    <t>Timing</t>
  </si>
  <si>
    <t>Total Time (Months)</t>
  </si>
  <si>
    <t>Loan Percentage</t>
  </si>
  <si>
    <t>Interest ratio for Loan</t>
  </si>
  <si>
    <t>Loan Points</t>
  </si>
  <si>
    <t>Rate of Return Flows</t>
  </si>
  <si>
    <t>Profit</t>
  </si>
  <si>
    <t>Loan Draw</t>
  </si>
  <si>
    <t>Annual Holding Costs</t>
  </si>
  <si>
    <t>Other Costs</t>
  </si>
  <si>
    <t>BUILDER OF A TYPICAL HOME IN THE PROJECT</t>
  </si>
  <si>
    <t xml:space="preserve">INCENTIVES APPLIED </t>
  </si>
  <si>
    <t>Sale Price</t>
  </si>
  <si>
    <t>Financing Costs</t>
  </si>
  <si>
    <t>Other Carrying Costs</t>
  </si>
  <si>
    <t>Total Project Revenue</t>
  </si>
  <si>
    <t>Revenue</t>
  </si>
  <si>
    <t>Costs</t>
  </si>
  <si>
    <t>Equity</t>
  </si>
  <si>
    <t>Loan</t>
  </si>
  <si>
    <t>Net Flow of Funds Into the Project</t>
  </si>
  <si>
    <t>Cost of A&amp;D Incurred</t>
  </si>
  <si>
    <t>Interest Paid</t>
  </si>
  <si>
    <t>Cost of Construction Incurred</t>
  </si>
  <si>
    <t>% of Lots Sold</t>
  </si>
  <si>
    <t>With No IZ</t>
  </si>
  <si>
    <t>No IZ</t>
  </si>
  <si>
    <t>PROJECT SUMMARY - DEVELOPER</t>
  </si>
  <si>
    <t>Loan Dollar Amount</t>
  </si>
  <si>
    <t>Loan-to-Cost Ratio</t>
  </si>
  <si>
    <t>of Development Costs Financed by Loan</t>
  </si>
  <si>
    <t>Percent of Acquisition and</t>
  </si>
  <si>
    <t>Development Costs Incurred by Year</t>
  </si>
  <si>
    <t>Development Costs Financed by Loan</t>
  </si>
  <si>
    <t>Escalation Rate (Yearly)</t>
  </si>
  <si>
    <t>Loan-to-Cost Limit</t>
  </si>
  <si>
    <t>Each applicable year's Percentage</t>
  </si>
  <si>
    <t>Accounting</t>
  </si>
  <si>
    <t>Banking</t>
  </si>
  <si>
    <t>Telecommunications</t>
  </si>
  <si>
    <t>Computer Design</t>
  </si>
  <si>
    <t>Utilities</t>
  </si>
  <si>
    <t>Insurance</t>
  </si>
  <si>
    <t>Car Dealers</t>
  </si>
  <si>
    <t xml:space="preserve">Examples of Other Industries' Profit Margins </t>
  </si>
  <si>
    <t>Source: Financial-Projections.com</t>
  </si>
  <si>
    <t>Source: Zillow.com</t>
  </si>
  <si>
    <t>General Instructions</t>
  </si>
  <si>
    <t>Any table that is blue is the incentives counterpart of the pink tables. There may not always be an incentives version of every entry. You may place inputs into the red-outlined boxes. If you don't, the incentives version of the calculations will default to the market version entered in the pink tables.</t>
  </si>
  <si>
    <t>Any table that is pink implies that inputs will need to be placed into red-outlined boxes.</t>
  </si>
  <si>
    <t>Any table that is green is a summary box that does not need any inputs.</t>
  </si>
  <si>
    <t>Some summarizing formulas will not fully calculate or will show an error until some or all of the inputs are entered.</t>
  </si>
  <si>
    <t>Any table that is yellow-orange is an input suggestion box that does not need any inputs.</t>
  </si>
  <si>
    <t xml:space="preserve"> </t>
  </si>
  <si>
    <t>Profit as a Pct of Cost</t>
  </si>
  <si>
    <t>Outstanding</t>
  </si>
  <si>
    <t>Interest</t>
  </si>
  <si>
    <t>Per $1,000 of Loan</t>
  </si>
  <si>
    <t>Equity Needed to Finance the Project</t>
  </si>
  <si>
    <t>Initial Loan Fees / Points</t>
  </si>
  <si>
    <t>Loan Parameters</t>
  </si>
  <si>
    <t>Loan-to-cost ratio</t>
  </si>
  <si>
    <t>This is an example of a yellow-orange suggestion box. It requires no inputs.</t>
  </si>
  <si>
    <t xml:space="preserve">This is an example of a green summary box. It requires no inputs. </t>
  </si>
  <si>
    <t>This an example of an instructions/notes box. It requires no inputs, and will sometimes include sources for data.</t>
  </si>
  <si>
    <t>A&amp;D Costs</t>
  </si>
  <si>
    <t>A&amp;D Financing</t>
  </si>
  <si>
    <t>A&amp;D Op Exp</t>
  </si>
  <si>
    <t>A&amp;D Returns</t>
  </si>
  <si>
    <t>Lot Sales</t>
  </si>
  <si>
    <t>Con Financing</t>
  </si>
  <si>
    <t>Con Sales</t>
  </si>
  <si>
    <t>Con Op Exp</t>
  </si>
  <si>
    <t>The pink box represents the non-incentives version, while the blue represents the with incentives version.</t>
  </si>
  <si>
    <t xml:space="preserve">This is an example of a pink and blue input box. If nothing is entered in the incentives input boxes (red outline), then the number used for the incentives calculations is just number without incentives. </t>
  </si>
  <si>
    <t xml:space="preserve">This tool also includes a construction section that is linked to the acquisition and development section only in that it calculates a lot price that must be met to ensure required construction profit margins are met. </t>
  </si>
  <si>
    <t xml:space="preserve">The construction section allows one to detail the costs of building a single home in each situation: market-rate, affordable, market-rate with incentives, affordable with incentives. </t>
  </si>
  <si>
    <t>Requirement</t>
  </si>
  <si>
    <t>Reduction in Reserve Requirements</t>
  </si>
  <si>
    <t>Reduced Percentge Affordable</t>
  </si>
  <si>
    <t>Calculated Suggestions</t>
  </si>
  <si>
    <t>Density Bonus (more units per acre)</t>
  </si>
  <si>
    <t>Fee In-Lieu of Providing Affordable Units</t>
  </si>
  <si>
    <t>Government Provides Land or Otherwise helps with Land Acquisition</t>
  </si>
  <si>
    <t>Reduced Permit/Impact/Hook-up or Other Fees Paid during Development</t>
  </si>
  <si>
    <t>Other Reductions in Development Costs</t>
  </si>
  <si>
    <t>Allowing Affordable Units to be Smaller/Have Less Expensive Features</t>
  </si>
  <si>
    <t>Reduced Permit/Impact/Inspection or Other Fees Paid during Construciton</t>
  </si>
  <si>
    <t>Other Reductions in Construction Costs</t>
  </si>
  <si>
    <t>Low Cost Financing for Development/Construction</t>
  </si>
  <si>
    <t>Relief from Property Tax Increases during Development/Construction</t>
  </si>
  <si>
    <t>Relief from Other Holding Costs during Development/Construciton</t>
  </si>
  <si>
    <t>Expedited Permitting or Other Processing of Project</t>
  </si>
  <si>
    <t>Help with Infrastructure</t>
  </si>
  <si>
    <t>Reduced Requirements for Enviornmental/Archaeological Studies</t>
  </si>
  <si>
    <t>Other Reduction in Acquisition Costs</t>
  </si>
  <si>
    <t>Environmental/Archaeological Studies</t>
  </si>
  <si>
    <t>Permit/Impact/Hook-up or Other Fees</t>
  </si>
  <si>
    <t>Permit/Impact/Inspection or Other Fees</t>
  </si>
  <si>
    <t>Property Tax Abatement for Home Owners</t>
  </si>
  <si>
    <t>Relaxed Price Restriction on Affordable Homes</t>
  </si>
  <si>
    <t>Source: NAHB</t>
  </si>
  <si>
    <t>Discount Rate</t>
  </si>
  <si>
    <t>Property Tax Reduction</t>
  </si>
  <si>
    <t>Final Home Sale Price</t>
  </si>
  <si>
    <t>Pre-Tax Reduction Home Sale Price</t>
  </si>
  <si>
    <t>Annual Property Tax Reduction for Market-Rate Units</t>
  </si>
  <si>
    <t>There is a macro button on the dashboard that will clear all inputs. When opening the workbook, you must choose "Enable Macros" if prompted. Additionally, you must save this as a type of Excel file that can handle macros, e.g. .xls or.xlsm</t>
  </si>
  <si>
    <t>Source: Gross Annual Return on Recently Acquired Properties, NAHB tabulation of data from the Rental Housing Finance Survey (U.S. Census Bureau and the Department of Housing and Urban Development)</t>
  </si>
  <si>
    <t>Time Between Completion and Closing (Months)</t>
  </si>
  <si>
    <t>Expected Time on Market for an Existing Home</t>
  </si>
  <si>
    <t>Lastly, non-entry cells are locked with the password IZ and you can use this password to unlock the sheets and view/manipulate the formulas.</t>
  </si>
  <si>
    <t>Pro Forma sheets that summarize the cash flows for each section (A&amp;D, Construction) and type of incentive (No Incentives, With Incentives, No IZ) will appear at the end of each section.</t>
  </si>
  <si>
    <t>Acquisition and Developmemt</t>
  </si>
  <si>
    <t>Construction</t>
  </si>
  <si>
    <t>Square Footage</t>
  </si>
  <si>
    <t>Worksheets that require an input (with link)</t>
  </si>
  <si>
    <t>This tool summarizes the financial feasibility of development projects in incluzionary zoning with and without incentives. The final summarizing results will appear</t>
  </si>
  <si>
    <r>
      <rPr>
        <sz val="11"/>
        <color indexed="8"/>
        <rFont val="Calibri (Body)"/>
        <family val="0"/>
      </rPr>
      <t xml:space="preserve">on the </t>
    </r>
    <r>
      <rPr>
        <u val="single"/>
        <sz val="11"/>
        <color indexed="15"/>
        <rFont val="Calibri (Body)"/>
        <family val="0"/>
      </rPr>
      <t>dashboard</t>
    </r>
    <r>
      <rPr>
        <u val="single"/>
        <sz val="11"/>
        <color indexed="15"/>
        <rFont val="Calibri"/>
        <family val="2"/>
      </rPr>
      <t>.</t>
    </r>
  </si>
  <si>
    <t>Used Value</t>
  </si>
  <si>
    <t>Table for Later Calculation of Latest Year of Completion</t>
  </si>
  <si>
    <t>Loan Outstanding End of Year</t>
  </si>
  <si>
    <t>Loan Principle Repaid</t>
  </si>
  <si>
    <t>Interest Incurred During Year</t>
  </si>
  <si>
    <t>Total Interest Due at Year End</t>
  </si>
  <si>
    <t>`</t>
  </si>
  <si>
    <t>Project Level Cash Flow Before Debt Service</t>
  </si>
  <si>
    <t>Project Level Cash Flow Before After Debt Service</t>
  </si>
  <si>
    <t xml:space="preserve">  Distributions</t>
  </si>
  <si>
    <t>Net Equity Cash Flow</t>
  </si>
  <si>
    <t>Cumulative Equity Cash Flow</t>
  </si>
  <si>
    <t>Totals</t>
  </si>
  <si>
    <t>Project Level Cash Flow After Debt Service</t>
  </si>
  <si>
    <t>of an investment -- which in the case of the typical</t>
  </si>
  <si>
    <r>
      <t xml:space="preserve">Note:  </t>
    </r>
    <r>
      <rPr>
        <sz val="11"/>
        <color theme="1"/>
        <rFont val="Calibri"/>
        <family val="2"/>
      </rPr>
      <t xml:space="preserve">Among other things, leverage increases the risk </t>
    </r>
  </si>
  <si>
    <t>PROJECT LEVEL FEASIBILITY - DEVEOPER</t>
  </si>
  <si>
    <t>Needed to cover A&amp;D and Debt Service</t>
  </si>
  <si>
    <t>Project Rate of Return-Unleveraged</t>
  </si>
  <si>
    <t>Project Rate of Return - Leveraged</t>
  </si>
  <si>
    <t>Rate of Return to Equity</t>
  </si>
  <si>
    <t>Project Rate of Return-Leveraged</t>
  </si>
  <si>
    <t xml:space="preserve">  Contributions*</t>
  </si>
  <si>
    <t>*Assumes equity needed to cover all A&amp;D costs and debt service is contributed in year 1.</t>
  </si>
  <si>
    <t>Suggestion:</t>
  </si>
  <si>
    <t>residential project, is already quite risky.  A Leveraged</t>
  </si>
  <si>
    <t>Rate of Return under 20% would usually be unrealistic.</t>
  </si>
  <si>
    <r>
      <t xml:space="preserve">Required Returns </t>
    </r>
    <r>
      <rPr>
        <sz val="11"/>
        <color theme="1"/>
        <rFont val="Calibri"/>
        <family val="2"/>
      </rPr>
      <t>(You Must Enter At Least One)</t>
    </r>
  </si>
  <si>
    <t>Rate of Return to Equity is similar to Leveraged Rate of</t>
  </si>
  <si>
    <t xml:space="preserve">Return for the Project, but assumes the investment </t>
  </si>
  <si>
    <t xml:space="preserve">required to fund A&amp;D costs net of the loan AND to </t>
  </si>
  <si>
    <t>service the loan is made up front, in Year 1.  Due to</t>
  </si>
  <si>
    <t>Project Rate of Return - Unleveraged</t>
  </si>
  <si>
    <t>this assumption, Rate of Return to Equity will typically</t>
  </si>
  <si>
    <t xml:space="preserve"> be somewhat lower than Leveraged Rate of Return.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</si>
</sst>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quot;$&quot;#,##0.00"/>
    <numFmt numFmtId="168" formatCode="0.0000"/>
    <numFmt numFmtId="169" formatCode="0.00000"/>
    <numFmt numFmtId="170" formatCode="0.000%"/>
    <numFmt numFmtId="171" formatCode="&quot;$&quot;#,##0.0_);[Red]\(&quot;$&quot;#,##0.0\)"/>
    <numFmt numFmtId="172" formatCode="&quot;$&quot;#,##0.000_);[Red]\(&quot;$&quot;#,##0.000\)"/>
    <numFmt numFmtId="173" formatCode="&quot;$&quot;#,##0.0000_);[Red]\(&quot;$&quot;#,##0.0000\)"/>
    <numFmt numFmtId="174" formatCode="[$-409]dddd\,\ mmmm\ d\,\ yyyy"/>
    <numFmt numFmtId="175" formatCode="[$-409]h:mm:ss\ AM/PM"/>
    <numFmt numFmtId="176" formatCode="0.0"/>
    <numFmt numFmtId="177" formatCode="&quot;$&quot;#,##0.0"/>
  </numFmts>
  <fonts count="69">
    <font>
      <sz val="11"/>
      <color theme="1"/>
      <name val="Calibri"/>
      <family val="2"/>
    </font>
    <font>
      <sz val="12"/>
      <color indexed="8"/>
      <name val="Calibri"/>
      <family val="2"/>
    </font>
    <font>
      <sz val="10"/>
      <name val="Arial"/>
      <family val="2"/>
    </font>
    <font>
      <sz val="12"/>
      <color indexed="8"/>
      <name val="Helv"/>
      <family val="0"/>
    </font>
    <font>
      <u val="single"/>
      <sz val="11"/>
      <color indexed="15"/>
      <name val="Calibri"/>
      <family val="2"/>
    </font>
    <font>
      <sz val="11"/>
      <color indexed="8"/>
      <name val="Calibri (Body)"/>
      <family val="0"/>
    </font>
    <font>
      <u val="single"/>
      <sz val="11"/>
      <color indexed="15"/>
      <name val="Calibri (Body)"/>
      <family val="0"/>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b/>
      <sz val="11"/>
      <color indexed="8"/>
      <name val="Calibri"/>
      <family val="2"/>
    </font>
    <font>
      <sz val="11"/>
      <name val="Calibri"/>
      <family val="2"/>
    </font>
    <font>
      <u val="single"/>
      <sz val="11"/>
      <color indexed="8"/>
      <name val="Calibri"/>
      <family val="2"/>
    </font>
    <font>
      <sz val="10"/>
      <name val="Calibri"/>
      <family val="2"/>
    </font>
    <font>
      <sz val="10"/>
      <color indexed="8"/>
      <name val="Calibri"/>
      <family val="2"/>
    </font>
    <font>
      <i/>
      <sz val="11"/>
      <name val="Calibri"/>
      <family val="2"/>
    </font>
    <font>
      <i/>
      <sz val="11"/>
      <color indexed="8"/>
      <name val="Calibri"/>
      <family val="2"/>
    </font>
    <font>
      <b/>
      <sz val="11"/>
      <color indexed="9"/>
      <name val="Calibri"/>
      <family val="2"/>
    </font>
    <font>
      <sz val="11"/>
      <color indexed="9"/>
      <name val="Calibri"/>
      <family val="2"/>
    </font>
    <font>
      <i/>
      <sz val="11"/>
      <color indexed="9"/>
      <name val="Calibri"/>
      <family val="2"/>
    </font>
    <font>
      <b/>
      <u val="single"/>
      <sz val="11"/>
      <color indexed="8"/>
      <name val="Calibri"/>
      <family val="2"/>
    </font>
    <font>
      <i/>
      <sz val="11"/>
      <color indexed="8"/>
      <name val="Calibri (Body)"/>
      <family val="0"/>
    </font>
    <font>
      <sz val="10"/>
      <color indexed="10"/>
      <name val="Calibri"/>
      <family val="2"/>
    </font>
    <font>
      <i/>
      <sz val="10"/>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u val="single"/>
      <sz val="11"/>
      <color theme="1"/>
      <name val="Calibri"/>
      <family val="2"/>
    </font>
    <font>
      <sz val="10"/>
      <color theme="1"/>
      <name val="Calibri"/>
      <family val="2"/>
    </font>
    <font>
      <i/>
      <sz val="11"/>
      <color theme="1"/>
      <name val="Calibri"/>
      <family val="2"/>
    </font>
    <font>
      <b/>
      <sz val="11"/>
      <color theme="0"/>
      <name val="Calibri"/>
      <family val="2"/>
    </font>
    <font>
      <sz val="11"/>
      <color theme="0"/>
      <name val="Calibri"/>
      <family val="2"/>
    </font>
    <font>
      <i/>
      <sz val="11"/>
      <color theme="0"/>
      <name val="Calibri"/>
      <family val="2"/>
    </font>
    <font>
      <b/>
      <u val="single"/>
      <sz val="11"/>
      <color theme="1"/>
      <name val="Calibri"/>
      <family val="2"/>
    </font>
    <font>
      <i/>
      <sz val="11"/>
      <color theme="1"/>
      <name val="Calibri (Body)"/>
      <family val="0"/>
    </font>
    <font>
      <sz val="10"/>
      <color rgb="FFFF0000"/>
      <name val="Calibri"/>
      <family val="2"/>
    </font>
    <font>
      <i/>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EBEB"/>
        <bgColor indexed="64"/>
      </patternFill>
    </fill>
    <fill>
      <patternFill patternType="solid">
        <fgColor theme="1" tint="0.34999001026153564"/>
        <bgColor indexed="64"/>
      </patternFill>
    </fill>
    <fill>
      <patternFill patternType="solid">
        <fgColor rgb="FFFFF2CC"/>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color rgb="FFFF0000"/>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rgb="FFFF0000"/>
      </right>
      <top style="medium">
        <color rgb="FFFF0000"/>
      </top>
      <bottom style="medium">
        <color rgb="FFFF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medium"/>
      <right style="medium">
        <color rgb="FFFF0000"/>
      </right>
      <top>
        <color indexed="63"/>
      </top>
      <bottom>
        <color indexed="63"/>
      </bottom>
    </border>
    <border>
      <left style="medium">
        <color rgb="FFFF0000"/>
      </left>
      <right style="medium"/>
      <top style="medium">
        <color rgb="FFFF0000"/>
      </top>
      <bottom style="medium">
        <color rgb="FFFF0000"/>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color theme="1"/>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style="medium">
        <color rgb="FFFF0000"/>
      </right>
      <top>
        <color indexed="63"/>
      </top>
      <bottom>
        <color indexed="63"/>
      </bottom>
    </border>
    <border>
      <left style="medium">
        <color theme="1"/>
      </left>
      <right>
        <color indexed="63"/>
      </right>
      <top>
        <color indexed="63"/>
      </top>
      <bottom style="medium">
        <color theme="1"/>
      </bottom>
    </border>
    <border>
      <left>
        <color indexed="63"/>
      </left>
      <right style="medium">
        <color theme="1"/>
      </right>
      <top>
        <color indexed="63"/>
      </top>
      <bottom style="medium">
        <color theme="1"/>
      </bottom>
    </border>
    <border>
      <left>
        <color indexed="63"/>
      </left>
      <right>
        <color indexed="63"/>
      </right>
      <top style="medium">
        <color theme="1"/>
      </top>
      <bottom>
        <color indexed="63"/>
      </bottom>
    </border>
    <border>
      <left>
        <color indexed="63"/>
      </left>
      <right>
        <color indexed="63"/>
      </right>
      <top>
        <color indexed="63"/>
      </top>
      <bottom style="medium">
        <color theme="1"/>
      </bottom>
    </border>
    <border>
      <left>
        <color indexed="63"/>
      </left>
      <right style="medium"/>
      <top>
        <color indexed="63"/>
      </top>
      <bottom style="thin"/>
    </border>
    <border>
      <left style="medium"/>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theme="1"/>
      </left>
      <right>
        <color indexed="63"/>
      </right>
      <top>
        <color indexed="63"/>
      </top>
      <bottom style="thin"/>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color theme="1"/>
      </right>
      <top style="medium"/>
      <bottom>
        <color indexed="63"/>
      </bottom>
    </border>
    <border>
      <left>
        <color indexed="63"/>
      </left>
      <right style="medium">
        <color theme="1"/>
      </right>
      <top>
        <color indexed="63"/>
      </top>
      <bottom style="medium"/>
    </border>
    <border>
      <left style="medium">
        <color theme="1"/>
      </left>
      <right>
        <color indexed="63"/>
      </right>
      <top>
        <color indexed="63"/>
      </top>
      <bottom style="medium"/>
    </border>
    <border>
      <left>
        <color indexed="63"/>
      </left>
      <right style="medium">
        <color theme="1"/>
      </right>
      <top style="medium">
        <color rgb="FFFF0000"/>
      </top>
      <bottom style="medium">
        <color rgb="FFFF0000"/>
      </bottom>
    </border>
    <border>
      <left>
        <color indexed="63"/>
      </left>
      <right style="medium">
        <color theme="1"/>
      </right>
      <top style="medium">
        <color rgb="FFFF0000"/>
      </top>
      <bottom>
        <color indexed="63"/>
      </bottom>
    </border>
    <border>
      <left style="medium">
        <color rgb="FFFF0000"/>
      </left>
      <right style="medium">
        <color theme="1"/>
      </right>
      <top style="medium">
        <color rgb="FFFF0000"/>
      </top>
      <bottom style="medium">
        <color rgb="FFFF0000"/>
      </bottom>
    </border>
    <border>
      <left>
        <color indexed="63"/>
      </left>
      <right style="medium">
        <color theme="1"/>
      </right>
      <top>
        <color indexed="63"/>
      </top>
      <bottom style="medium">
        <color rgb="FFFF0000"/>
      </bottom>
    </border>
    <border>
      <left style="medium">
        <color rgb="FFFF0000"/>
      </left>
      <right>
        <color indexed="63"/>
      </right>
      <top style="medium">
        <color rgb="FFFF0000"/>
      </top>
      <bottom style="medium">
        <color rgb="FFFF0000"/>
      </bottom>
    </border>
    <border>
      <left style="medium"/>
      <right style="medium">
        <color rgb="FFFF0000"/>
      </right>
      <top style="medium">
        <color rgb="FFFF0000"/>
      </top>
      <bottom style="medium">
        <color rgb="FFFF0000"/>
      </bottom>
    </border>
    <border>
      <left>
        <color indexed="63"/>
      </left>
      <right style="medium"/>
      <top style="medium">
        <color rgb="FFFF0000"/>
      </top>
      <bottom style="medium">
        <color rgb="FFFF0000"/>
      </bottom>
    </border>
    <border>
      <left style="medium">
        <color rgb="FFFF0000"/>
      </left>
      <right style="medium">
        <color rgb="FFFF0000"/>
      </right>
      <top style="medium">
        <color rgb="FFFF0000"/>
      </top>
      <bottom style="medium">
        <color rgb="FFFF0000"/>
      </bottom>
    </border>
    <border>
      <left>
        <color indexed="63"/>
      </left>
      <right>
        <color indexed="63"/>
      </right>
      <top style="medium">
        <color rgb="FFFF0000"/>
      </top>
      <bottom style="medium">
        <color rgb="FFFF0000"/>
      </bottom>
    </border>
    <border>
      <left style="thin"/>
      <right>
        <color indexed="63"/>
      </right>
      <top style="medium"/>
      <bottom style="medium"/>
    </border>
    <border>
      <left>
        <color indexed="63"/>
      </left>
      <right style="thin"/>
      <top style="medium"/>
      <bottom style="medium"/>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36">
    <xf numFmtId="0" fontId="0" fillId="0" borderId="0" xfId="0" applyFont="1" applyAlignment="1">
      <alignment/>
    </xf>
    <xf numFmtId="165" fontId="0" fillId="0" borderId="0" xfId="44" applyNumberFormat="1" applyFont="1" applyAlignment="1">
      <alignment/>
    </xf>
    <xf numFmtId="0" fontId="58" fillId="0" borderId="0" xfId="0" applyFont="1" applyAlignment="1">
      <alignment/>
    </xf>
    <xf numFmtId="0" fontId="26" fillId="33" borderId="10" xfId="0" applyFont="1" applyFill="1" applyBorder="1" applyAlignment="1">
      <alignment/>
    </xf>
    <xf numFmtId="0" fontId="26" fillId="2" borderId="11" xfId="0" applyFont="1" applyFill="1" applyBorder="1" applyAlignment="1">
      <alignment/>
    </xf>
    <xf numFmtId="0" fontId="26" fillId="2" borderId="12" xfId="0" applyFont="1" applyFill="1" applyBorder="1" applyAlignment="1">
      <alignment/>
    </xf>
    <xf numFmtId="166" fontId="0" fillId="2" borderId="13" xfId="59" applyNumberFormat="1" applyFont="1" applyFill="1" applyBorder="1" applyAlignment="1">
      <alignment/>
    </xf>
    <xf numFmtId="164" fontId="0" fillId="7" borderId="12" xfId="44" applyNumberFormat="1" applyFont="1" applyFill="1" applyBorder="1" applyAlignment="1">
      <alignment/>
    </xf>
    <xf numFmtId="1" fontId="0" fillId="7" borderId="12" xfId="59" applyNumberFormat="1" applyFont="1" applyFill="1" applyBorder="1" applyAlignment="1">
      <alignment horizontal="center"/>
    </xf>
    <xf numFmtId="164" fontId="59" fillId="7" borderId="12" xfId="0" applyNumberFormat="1" applyFont="1" applyFill="1" applyBorder="1" applyAlignment="1">
      <alignment/>
    </xf>
    <xf numFmtId="0" fontId="59" fillId="7" borderId="14" xfId="0" applyFont="1" applyFill="1" applyBorder="1" applyAlignment="1">
      <alignment/>
    </xf>
    <xf numFmtId="0" fontId="58" fillId="33" borderId="14" xfId="0" applyFont="1" applyFill="1" applyBorder="1" applyAlignment="1">
      <alignment/>
    </xf>
    <xf numFmtId="6" fontId="0" fillId="7" borderId="0" xfId="59" applyNumberFormat="1" applyFont="1" applyFill="1" applyBorder="1" applyAlignment="1">
      <alignment/>
    </xf>
    <xf numFmtId="6" fontId="0" fillId="7" borderId="13" xfId="59" applyNumberFormat="1" applyFont="1" applyFill="1" applyBorder="1" applyAlignment="1">
      <alignment/>
    </xf>
    <xf numFmtId="0" fontId="58" fillId="33" borderId="15" xfId="0" applyFont="1" applyFill="1" applyBorder="1" applyAlignment="1">
      <alignment/>
    </xf>
    <xf numFmtId="0" fontId="28" fillId="2" borderId="0" xfId="0" applyFont="1" applyFill="1" applyBorder="1" applyAlignment="1">
      <alignment/>
    </xf>
    <xf numFmtId="0" fontId="60" fillId="2" borderId="12" xfId="0" applyFont="1" applyFill="1" applyBorder="1" applyAlignment="1">
      <alignment/>
    </xf>
    <xf numFmtId="166" fontId="60" fillId="2" borderId="16" xfId="59" applyNumberFormat="1" applyFont="1" applyFill="1" applyBorder="1" applyAlignment="1">
      <alignment/>
    </xf>
    <xf numFmtId="164" fontId="0" fillId="2" borderId="12" xfId="59" applyNumberFormat="1" applyFont="1" applyFill="1" applyBorder="1" applyAlignment="1">
      <alignment/>
    </xf>
    <xf numFmtId="0" fontId="58" fillId="7" borderId="15" xfId="0" applyFont="1" applyFill="1" applyBorder="1" applyAlignment="1">
      <alignment/>
    </xf>
    <xf numFmtId="0" fontId="30" fillId="33" borderId="11" xfId="0" applyFont="1" applyFill="1" applyBorder="1" applyAlignment="1">
      <alignment/>
    </xf>
    <xf numFmtId="0" fontId="30" fillId="2" borderId="17" xfId="0" applyFont="1" applyFill="1" applyBorder="1" applyAlignment="1">
      <alignment/>
    </xf>
    <xf numFmtId="0" fontId="61" fillId="7" borderId="11" xfId="0" applyFont="1" applyFill="1" applyBorder="1" applyAlignment="1">
      <alignment/>
    </xf>
    <xf numFmtId="0" fontId="58" fillId="7" borderId="14" xfId="0" applyFont="1" applyFill="1" applyBorder="1" applyAlignment="1">
      <alignment/>
    </xf>
    <xf numFmtId="0" fontId="61" fillId="7" borderId="12" xfId="0" applyFont="1" applyFill="1" applyBorder="1" applyAlignment="1">
      <alignment/>
    </xf>
    <xf numFmtId="0" fontId="61" fillId="33" borderId="17" xfId="0" applyFont="1" applyFill="1" applyBorder="1" applyAlignment="1">
      <alignment/>
    </xf>
    <xf numFmtId="0" fontId="61" fillId="2" borderId="15" xfId="0" applyFont="1" applyFill="1" applyBorder="1" applyAlignment="1">
      <alignment/>
    </xf>
    <xf numFmtId="0" fontId="61" fillId="33" borderId="11" xfId="0" applyFont="1" applyFill="1" applyBorder="1" applyAlignment="1">
      <alignment/>
    </xf>
    <xf numFmtId="0" fontId="61" fillId="2" borderId="17" xfId="0" applyFont="1" applyFill="1" applyBorder="1" applyAlignment="1">
      <alignment/>
    </xf>
    <xf numFmtId="0" fontId="0" fillId="7" borderId="18" xfId="0" applyFont="1" applyFill="1" applyBorder="1" applyAlignment="1">
      <alignment/>
    </xf>
    <xf numFmtId="164" fontId="0" fillId="7" borderId="12" xfId="59" applyNumberFormat="1" applyFont="1" applyFill="1" applyBorder="1" applyAlignment="1">
      <alignment horizontal="right"/>
    </xf>
    <xf numFmtId="9" fontId="0" fillId="7" borderId="0" xfId="59" applyNumberFormat="1" applyFont="1" applyFill="1" applyBorder="1" applyAlignment="1">
      <alignment/>
    </xf>
    <xf numFmtId="0" fontId="58" fillId="7" borderId="18" xfId="0" applyFont="1" applyFill="1" applyBorder="1" applyAlignment="1">
      <alignment/>
    </xf>
    <xf numFmtId="164" fontId="59" fillId="7" borderId="12" xfId="44" applyNumberFormat="1" applyFont="1" applyFill="1" applyBorder="1" applyAlignment="1">
      <alignment/>
    </xf>
    <xf numFmtId="9" fontId="0" fillId="2" borderId="12" xfId="59" applyFont="1" applyFill="1" applyBorder="1" applyAlignment="1">
      <alignment/>
    </xf>
    <xf numFmtId="0" fontId="60" fillId="2" borderId="11" xfId="0" applyFont="1" applyFill="1" applyBorder="1" applyAlignment="1">
      <alignment/>
    </xf>
    <xf numFmtId="0" fontId="30" fillId="33" borderId="12" xfId="0" applyFont="1" applyFill="1" applyBorder="1" applyAlignment="1">
      <alignment/>
    </xf>
    <xf numFmtId="0" fontId="30" fillId="2" borderId="0" xfId="0" applyFont="1" applyFill="1" applyBorder="1" applyAlignment="1">
      <alignment/>
    </xf>
    <xf numFmtId="0" fontId="0" fillId="7" borderId="14" xfId="0" applyFont="1" applyFill="1" applyBorder="1" applyAlignment="1">
      <alignment horizontal="left"/>
    </xf>
    <xf numFmtId="0" fontId="0" fillId="7" borderId="14" xfId="0" applyFont="1" applyFill="1" applyBorder="1" applyAlignment="1">
      <alignment/>
    </xf>
    <xf numFmtId="0" fontId="59" fillId="7" borderId="15" xfId="0" applyFont="1" applyFill="1" applyBorder="1" applyAlignment="1">
      <alignment/>
    </xf>
    <xf numFmtId="0" fontId="62" fillId="34" borderId="19" xfId="0" applyFont="1" applyFill="1" applyBorder="1" applyAlignment="1">
      <alignment/>
    </xf>
    <xf numFmtId="0" fontId="62" fillId="34" borderId="20" xfId="0" applyFont="1" applyFill="1" applyBorder="1" applyAlignment="1">
      <alignment horizontal="right"/>
    </xf>
    <xf numFmtId="0" fontId="62" fillId="34" borderId="21" xfId="0" applyFont="1" applyFill="1" applyBorder="1" applyAlignment="1">
      <alignment horizontal="right"/>
    </xf>
    <xf numFmtId="0" fontId="62" fillId="34" borderId="15" xfId="0" applyFont="1" applyFill="1" applyBorder="1" applyAlignment="1">
      <alignment/>
    </xf>
    <xf numFmtId="0" fontId="62" fillId="34" borderId="17" xfId="0" applyFont="1" applyFill="1" applyBorder="1" applyAlignment="1">
      <alignment/>
    </xf>
    <xf numFmtId="0" fontId="63" fillId="34" borderId="20" xfId="0" applyFont="1" applyFill="1" applyBorder="1" applyAlignment="1">
      <alignment/>
    </xf>
    <xf numFmtId="0" fontId="63" fillId="34" borderId="21" xfId="0" applyFont="1" applyFill="1" applyBorder="1" applyAlignment="1">
      <alignment/>
    </xf>
    <xf numFmtId="166" fontId="60" fillId="2" borderId="16" xfId="59" applyNumberFormat="1" applyFont="1" applyFill="1" applyBorder="1" applyAlignment="1">
      <alignment horizontal="center"/>
    </xf>
    <xf numFmtId="0" fontId="60" fillId="2" borderId="12" xfId="0" applyFont="1" applyFill="1" applyBorder="1" applyAlignment="1">
      <alignment horizontal="right"/>
    </xf>
    <xf numFmtId="9" fontId="60" fillId="2" borderId="12" xfId="59" applyFont="1" applyFill="1" applyBorder="1" applyAlignment="1">
      <alignment horizontal="right"/>
    </xf>
    <xf numFmtId="166" fontId="60" fillId="2" borderId="16" xfId="59" applyNumberFormat="1" applyFont="1" applyFill="1" applyBorder="1" applyAlignment="1">
      <alignment horizontal="right"/>
    </xf>
    <xf numFmtId="0" fontId="60" fillId="2" borderId="11" xfId="0" applyFont="1" applyFill="1" applyBorder="1" applyAlignment="1">
      <alignment horizontal="right"/>
    </xf>
    <xf numFmtId="164" fontId="60" fillId="2" borderId="12" xfId="0" applyNumberFormat="1" applyFont="1" applyFill="1" applyBorder="1" applyAlignment="1">
      <alignment horizontal="right"/>
    </xf>
    <xf numFmtId="164" fontId="61" fillId="7" borderId="16" xfId="0" applyNumberFormat="1" applyFont="1" applyFill="1" applyBorder="1" applyAlignment="1">
      <alignment horizontal="center"/>
    </xf>
    <xf numFmtId="0" fontId="62" fillId="34" borderId="11" xfId="0" applyFont="1" applyFill="1" applyBorder="1" applyAlignment="1">
      <alignment horizontal="right"/>
    </xf>
    <xf numFmtId="0" fontId="62" fillId="34" borderId="21" xfId="0" applyFont="1" applyFill="1" applyBorder="1" applyAlignment="1">
      <alignment/>
    </xf>
    <xf numFmtId="0" fontId="60" fillId="2" borderId="22" xfId="0" applyFont="1" applyFill="1" applyBorder="1" applyAlignment="1">
      <alignment horizontal="center"/>
    </xf>
    <xf numFmtId="9" fontId="60" fillId="2" borderId="22" xfId="59" applyFont="1" applyFill="1" applyBorder="1" applyAlignment="1">
      <alignment horizontal="center"/>
    </xf>
    <xf numFmtId="0" fontId="64" fillId="34" borderId="19" xfId="0" applyFont="1" applyFill="1" applyBorder="1" applyAlignment="1">
      <alignment/>
    </xf>
    <xf numFmtId="0" fontId="64" fillId="34" borderId="20" xfId="0" applyFont="1" applyFill="1" applyBorder="1" applyAlignment="1">
      <alignment/>
    </xf>
    <xf numFmtId="0" fontId="63" fillId="34" borderId="19" xfId="0" applyFont="1" applyFill="1" applyBorder="1" applyAlignment="1">
      <alignment/>
    </xf>
    <xf numFmtId="6" fontId="26" fillId="7" borderId="0" xfId="0" applyNumberFormat="1" applyFont="1" applyFill="1" applyBorder="1" applyAlignment="1">
      <alignment horizontal="right"/>
    </xf>
    <xf numFmtId="164" fontId="0" fillId="7" borderId="12" xfId="59" applyNumberFormat="1" applyFont="1" applyFill="1" applyBorder="1" applyAlignment="1">
      <alignment horizontal="center"/>
    </xf>
    <xf numFmtId="9" fontId="0" fillId="7" borderId="13" xfId="59" applyNumberFormat="1" applyFont="1" applyFill="1" applyBorder="1" applyAlignment="1">
      <alignment/>
    </xf>
    <xf numFmtId="1" fontId="60" fillId="2" borderId="12" xfId="0" applyNumberFormat="1" applyFont="1" applyFill="1" applyBorder="1" applyAlignment="1">
      <alignment horizontal="right"/>
    </xf>
    <xf numFmtId="0" fontId="30" fillId="7" borderId="11" xfId="0" applyFont="1" applyFill="1" applyBorder="1" applyAlignment="1">
      <alignment/>
    </xf>
    <xf numFmtId="0" fontId="30" fillId="7" borderId="12" xfId="0" applyFont="1" applyFill="1" applyBorder="1" applyAlignment="1">
      <alignment/>
    </xf>
    <xf numFmtId="0" fontId="30" fillId="7" borderId="23" xfId="0" applyFont="1" applyFill="1" applyBorder="1" applyAlignment="1">
      <alignment/>
    </xf>
    <xf numFmtId="0" fontId="30" fillId="7" borderId="24" xfId="0" applyFont="1" applyFill="1" applyBorder="1" applyAlignment="1">
      <alignment/>
    </xf>
    <xf numFmtId="6" fontId="26" fillId="7" borderId="12" xfId="0" applyNumberFormat="1" applyFont="1" applyFill="1" applyBorder="1" applyAlignment="1">
      <alignment horizontal="center"/>
    </xf>
    <xf numFmtId="164" fontId="26" fillId="7" borderId="24" xfId="0" applyNumberFormat="1" applyFont="1" applyFill="1" applyBorder="1" applyAlignment="1">
      <alignment horizontal="center"/>
    </xf>
    <xf numFmtId="166" fontId="0" fillId="7" borderId="25" xfId="59" applyNumberFormat="1" applyFont="1" applyFill="1" applyBorder="1" applyAlignment="1">
      <alignment horizontal="center"/>
    </xf>
    <xf numFmtId="166" fontId="26" fillId="7" borderId="24" xfId="59" applyNumberFormat="1" applyFont="1" applyFill="1" applyBorder="1" applyAlignment="1">
      <alignment horizontal="center"/>
    </xf>
    <xf numFmtId="164" fontId="26" fillId="7" borderId="12" xfId="44" applyNumberFormat="1" applyFont="1" applyFill="1" applyBorder="1" applyAlignment="1">
      <alignment horizontal="center"/>
    </xf>
    <xf numFmtId="0" fontId="61" fillId="7" borderId="14" xfId="0" applyFont="1" applyFill="1" applyBorder="1" applyAlignment="1">
      <alignment/>
    </xf>
    <xf numFmtId="0" fontId="0" fillId="0" borderId="0" xfId="0" applyFont="1" applyAlignment="1">
      <alignment/>
    </xf>
    <xf numFmtId="0" fontId="0" fillId="2" borderId="11" xfId="0" applyFont="1" applyFill="1" applyBorder="1" applyAlignment="1">
      <alignment/>
    </xf>
    <xf numFmtId="6" fontId="0" fillId="33" borderId="14" xfId="0" applyNumberFormat="1" applyFont="1" applyFill="1" applyBorder="1" applyAlignment="1">
      <alignment/>
    </xf>
    <xf numFmtId="6" fontId="0" fillId="33" borderId="0" xfId="0" applyNumberFormat="1" applyFont="1" applyFill="1" applyBorder="1" applyAlignment="1">
      <alignment/>
    </xf>
    <xf numFmtId="6" fontId="0" fillId="2" borderId="14" xfId="0" applyNumberFormat="1" applyFont="1" applyFill="1" applyBorder="1" applyAlignment="1">
      <alignment/>
    </xf>
    <xf numFmtId="6" fontId="0" fillId="2" borderId="12" xfId="0" applyNumberFormat="1" applyFont="1" applyFill="1" applyBorder="1" applyAlignment="1">
      <alignment/>
    </xf>
    <xf numFmtId="0" fontId="0" fillId="33" borderId="14" xfId="0" applyFont="1" applyFill="1" applyBorder="1" applyAlignment="1">
      <alignment/>
    </xf>
    <xf numFmtId="164" fontId="28" fillId="2" borderId="12" xfId="59" applyNumberFormat="1" applyFont="1" applyFill="1" applyBorder="1" applyAlignment="1">
      <alignment horizontal="center"/>
    </xf>
    <xf numFmtId="6" fontId="0" fillId="7" borderId="14" xfId="0" applyNumberFormat="1" applyFont="1" applyFill="1" applyBorder="1" applyAlignment="1">
      <alignment/>
    </xf>
    <xf numFmtId="6" fontId="0" fillId="7" borderId="12" xfId="0" applyNumberFormat="1" applyFont="1" applyFill="1" applyBorder="1" applyAlignment="1">
      <alignment horizontal="center"/>
    </xf>
    <xf numFmtId="6" fontId="28" fillId="33" borderId="0" xfId="60" applyNumberFormat="1" applyFont="1" applyFill="1" applyBorder="1" applyAlignment="1">
      <alignment horizontal="center"/>
    </xf>
    <xf numFmtId="6" fontId="28" fillId="2" borderId="14" xfId="60" applyNumberFormat="1" applyFont="1" applyFill="1" applyBorder="1" applyAlignment="1">
      <alignment horizontal="center"/>
    </xf>
    <xf numFmtId="6" fontId="28" fillId="2" borderId="12" xfId="60" applyNumberFormat="1" applyFont="1" applyFill="1" applyBorder="1" applyAlignment="1">
      <alignment horizontal="center"/>
    </xf>
    <xf numFmtId="10" fontId="28" fillId="2" borderId="12" xfId="59" applyNumberFormat="1" applyFont="1" applyFill="1" applyBorder="1" applyAlignment="1">
      <alignment horizontal="right"/>
    </xf>
    <xf numFmtId="6" fontId="0" fillId="33" borderId="0" xfId="0" applyNumberFormat="1" applyFont="1" applyFill="1" applyBorder="1" applyAlignment="1">
      <alignment horizontal="center"/>
    </xf>
    <xf numFmtId="6" fontId="0" fillId="2" borderId="14" xfId="0" applyNumberFormat="1" applyFont="1" applyFill="1" applyBorder="1" applyAlignment="1">
      <alignment horizontal="center"/>
    </xf>
    <xf numFmtId="0" fontId="0" fillId="7" borderId="26" xfId="0" applyFont="1" applyFill="1" applyBorder="1" applyAlignment="1">
      <alignment/>
    </xf>
    <xf numFmtId="6" fontId="0" fillId="0" borderId="0" xfId="0" applyNumberFormat="1" applyFont="1" applyAlignment="1">
      <alignment/>
    </xf>
    <xf numFmtId="0" fontId="0" fillId="7" borderId="12" xfId="0" applyFont="1" applyFill="1" applyBorder="1" applyAlignment="1">
      <alignment horizontal="center"/>
    </xf>
    <xf numFmtId="164" fontId="28" fillId="2" borderId="12" xfId="59" applyNumberFormat="1" applyFont="1" applyFill="1" applyBorder="1" applyAlignment="1">
      <alignment horizontal="right"/>
    </xf>
    <xf numFmtId="0" fontId="0" fillId="7" borderId="16" xfId="0" applyFont="1" applyFill="1" applyBorder="1" applyAlignment="1">
      <alignment/>
    </xf>
    <xf numFmtId="6" fontId="0" fillId="33" borderId="18" xfId="0" applyNumberFormat="1" applyFont="1" applyFill="1" applyBorder="1" applyAlignment="1">
      <alignment/>
    </xf>
    <xf numFmtId="6" fontId="0" fillId="33" borderId="13" xfId="0" applyNumberFormat="1" applyFont="1" applyFill="1" applyBorder="1" applyAlignment="1">
      <alignment/>
    </xf>
    <xf numFmtId="6" fontId="0" fillId="2" borderId="18" xfId="0" applyNumberFormat="1" applyFont="1" applyFill="1" applyBorder="1" applyAlignment="1">
      <alignment/>
    </xf>
    <xf numFmtId="6" fontId="0" fillId="2" borderId="16" xfId="0" applyNumberFormat="1" applyFont="1" applyFill="1" applyBorder="1" applyAlignment="1">
      <alignment horizontal="right"/>
    </xf>
    <xf numFmtId="0" fontId="0" fillId="0" borderId="0" xfId="0" applyFont="1" applyAlignment="1">
      <alignment horizontal="right"/>
    </xf>
    <xf numFmtId="0" fontId="0" fillId="2" borderId="11" xfId="0" applyFont="1" applyFill="1" applyBorder="1" applyAlignment="1">
      <alignment horizontal="right"/>
    </xf>
    <xf numFmtId="0" fontId="0" fillId="33" borderId="12" xfId="0" applyFont="1" applyFill="1" applyBorder="1" applyAlignment="1">
      <alignment/>
    </xf>
    <xf numFmtId="0" fontId="0" fillId="2" borderId="14" xfId="0" applyFont="1" applyFill="1" applyBorder="1" applyAlignment="1">
      <alignment/>
    </xf>
    <xf numFmtId="0" fontId="0" fillId="2" borderId="12" xfId="0" applyFont="1" applyFill="1" applyBorder="1" applyAlignment="1">
      <alignment horizontal="right"/>
    </xf>
    <xf numFmtId="166" fontId="28" fillId="2" borderId="12" xfId="59" applyNumberFormat="1" applyFont="1" applyFill="1" applyBorder="1" applyAlignment="1">
      <alignment horizontal="right"/>
    </xf>
    <xf numFmtId="0" fontId="0" fillId="33" borderId="18" xfId="0" applyFont="1" applyFill="1" applyBorder="1" applyAlignment="1">
      <alignment/>
    </xf>
    <xf numFmtId="0" fontId="0" fillId="33" borderId="16" xfId="0" applyFont="1" applyFill="1" applyBorder="1" applyAlignment="1">
      <alignment/>
    </xf>
    <xf numFmtId="0" fontId="0" fillId="2" borderId="18" xfId="0" applyFont="1" applyFill="1" applyBorder="1" applyAlignment="1">
      <alignment/>
    </xf>
    <xf numFmtId="0" fontId="0" fillId="2" borderId="16" xfId="0" applyFont="1" applyFill="1" applyBorder="1" applyAlignment="1">
      <alignment horizontal="right"/>
    </xf>
    <xf numFmtId="0" fontId="50" fillId="7" borderId="12" xfId="53" applyFont="1" applyFill="1" applyBorder="1" applyAlignment="1">
      <alignment/>
    </xf>
    <xf numFmtId="0" fontId="0" fillId="7" borderId="12" xfId="0" applyFont="1" applyFill="1" applyBorder="1" applyAlignment="1">
      <alignment/>
    </xf>
    <xf numFmtId="0" fontId="0" fillId="2" borderId="0" xfId="0" applyFont="1" applyFill="1" applyBorder="1" applyAlignment="1">
      <alignment/>
    </xf>
    <xf numFmtId="0" fontId="0" fillId="2" borderId="12" xfId="0" applyFont="1" applyFill="1" applyBorder="1" applyAlignment="1">
      <alignment/>
    </xf>
    <xf numFmtId="0" fontId="0" fillId="33" borderId="27" xfId="0" applyFont="1" applyFill="1" applyBorder="1" applyAlignment="1">
      <alignment/>
    </xf>
    <xf numFmtId="164" fontId="0" fillId="2" borderId="12" xfId="0" applyNumberFormat="1" applyFont="1" applyFill="1" applyBorder="1" applyAlignment="1">
      <alignment/>
    </xf>
    <xf numFmtId="0" fontId="0" fillId="33" borderId="12" xfId="0" applyFont="1" applyFill="1" applyBorder="1" applyAlignment="1">
      <alignment horizontal="center"/>
    </xf>
    <xf numFmtId="0" fontId="0" fillId="2" borderId="0" xfId="0" applyFont="1" applyFill="1" applyBorder="1" applyAlignment="1">
      <alignment horizontal="center"/>
    </xf>
    <xf numFmtId="9" fontId="28" fillId="33" borderId="28" xfId="59" applyFont="1" applyFill="1" applyBorder="1" applyAlignment="1">
      <alignment horizontal="center"/>
    </xf>
    <xf numFmtId="0" fontId="0" fillId="2" borderId="13" xfId="0" applyFont="1" applyFill="1" applyBorder="1" applyAlignment="1">
      <alignment/>
    </xf>
    <xf numFmtId="0" fontId="0" fillId="2" borderId="16" xfId="0" applyFont="1" applyFill="1" applyBorder="1" applyAlignment="1">
      <alignment/>
    </xf>
    <xf numFmtId="164" fontId="0" fillId="7" borderId="12" xfId="0" applyNumberFormat="1" applyFont="1" applyFill="1" applyBorder="1" applyAlignment="1">
      <alignment horizontal="center"/>
    </xf>
    <xf numFmtId="0" fontId="0" fillId="2" borderId="17" xfId="0" applyFont="1" applyFill="1" applyBorder="1" applyAlignment="1">
      <alignment/>
    </xf>
    <xf numFmtId="0" fontId="0" fillId="33" borderId="0" xfId="0" applyFont="1" applyFill="1" applyBorder="1" applyAlignment="1">
      <alignment/>
    </xf>
    <xf numFmtId="166" fontId="28" fillId="2" borderId="0" xfId="59" applyNumberFormat="1" applyFont="1" applyFill="1" applyBorder="1" applyAlignment="1">
      <alignment horizontal="right"/>
    </xf>
    <xf numFmtId="0" fontId="0" fillId="33" borderId="13" xfId="0" applyFont="1" applyFill="1" applyBorder="1" applyAlignment="1">
      <alignment/>
    </xf>
    <xf numFmtId="0" fontId="0" fillId="7" borderId="29" xfId="0" applyFont="1" applyFill="1" applyBorder="1" applyAlignment="1">
      <alignment/>
    </xf>
    <xf numFmtId="0" fontId="0" fillId="7" borderId="0" xfId="0" applyFont="1" applyFill="1" applyBorder="1" applyAlignment="1">
      <alignment/>
    </xf>
    <xf numFmtId="6" fontId="0" fillId="7" borderId="0" xfId="0" applyNumberFormat="1" applyFont="1" applyFill="1" applyBorder="1" applyAlignment="1">
      <alignment/>
    </xf>
    <xf numFmtId="6" fontId="0" fillId="7" borderId="12" xfId="0" applyNumberFormat="1" applyFont="1" applyFill="1" applyBorder="1" applyAlignment="1">
      <alignment/>
    </xf>
    <xf numFmtId="0" fontId="0" fillId="7" borderId="30" xfId="0" applyFont="1" applyFill="1" applyBorder="1" applyAlignment="1">
      <alignment/>
    </xf>
    <xf numFmtId="6" fontId="0" fillId="7" borderId="13" xfId="0" applyNumberFormat="1" applyFont="1" applyFill="1" applyBorder="1" applyAlignment="1">
      <alignment/>
    </xf>
    <xf numFmtId="6" fontId="0" fillId="7" borderId="16" xfId="0" applyNumberFormat="1" applyFont="1" applyFill="1" applyBorder="1" applyAlignment="1">
      <alignment/>
    </xf>
    <xf numFmtId="0" fontId="0" fillId="7" borderId="31" xfId="0" applyFont="1" applyFill="1" applyBorder="1" applyAlignment="1">
      <alignment/>
    </xf>
    <xf numFmtId="0" fontId="0" fillId="0" borderId="0" xfId="0" applyNumberFormat="1" applyFont="1" applyAlignment="1">
      <alignment/>
    </xf>
    <xf numFmtId="0" fontId="0" fillId="33" borderId="11" xfId="0" applyFont="1" applyFill="1" applyBorder="1" applyAlignment="1">
      <alignment/>
    </xf>
    <xf numFmtId="6" fontId="0" fillId="2" borderId="16" xfId="0" applyNumberFormat="1" applyFont="1" applyFill="1" applyBorder="1" applyAlignment="1">
      <alignment/>
    </xf>
    <xf numFmtId="0" fontId="0" fillId="7" borderId="11" xfId="0" applyFont="1" applyFill="1" applyBorder="1" applyAlignment="1">
      <alignment/>
    </xf>
    <xf numFmtId="164" fontId="0" fillId="7" borderId="0" xfId="0" applyNumberFormat="1" applyFont="1" applyFill="1" applyBorder="1" applyAlignment="1">
      <alignment horizontal="right"/>
    </xf>
    <xf numFmtId="0" fontId="0" fillId="7" borderId="32" xfId="0" applyFont="1" applyFill="1" applyBorder="1" applyAlignment="1">
      <alignment/>
    </xf>
    <xf numFmtId="0" fontId="0" fillId="7" borderId="0" xfId="0" applyFont="1" applyFill="1" applyBorder="1" applyAlignment="1">
      <alignment horizontal="right"/>
    </xf>
    <xf numFmtId="0" fontId="0" fillId="7" borderId="12" xfId="0" applyFont="1" applyFill="1" applyBorder="1" applyAlignment="1">
      <alignment horizontal="right"/>
    </xf>
    <xf numFmtId="6" fontId="0" fillId="7" borderId="12" xfId="0" applyNumberFormat="1" applyFont="1" applyFill="1" applyBorder="1" applyAlignment="1">
      <alignment horizontal="right"/>
    </xf>
    <xf numFmtId="6" fontId="0" fillId="7" borderId="0" xfId="0" applyNumberFormat="1" applyFont="1" applyFill="1" applyBorder="1" applyAlignment="1">
      <alignment horizontal="right"/>
    </xf>
    <xf numFmtId="164" fontId="0" fillId="7" borderId="12" xfId="0" applyNumberFormat="1" applyFont="1" applyFill="1" applyBorder="1" applyAlignment="1">
      <alignment horizontal="right"/>
    </xf>
    <xf numFmtId="0" fontId="0" fillId="7" borderId="33" xfId="0" applyFont="1" applyFill="1" applyBorder="1" applyAlignment="1">
      <alignment/>
    </xf>
    <xf numFmtId="6" fontId="0" fillId="7" borderId="13" xfId="0" applyNumberFormat="1" applyFont="1" applyFill="1" applyBorder="1" applyAlignment="1">
      <alignment horizontal="right"/>
    </xf>
    <xf numFmtId="6" fontId="0" fillId="7" borderId="16" xfId="0" applyNumberFormat="1" applyFont="1" applyFill="1" applyBorder="1" applyAlignment="1">
      <alignment horizontal="right"/>
    </xf>
    <xf numFmtId="0" fontId="0" fillId="7" borderId="17" xfId="0" applyFont="1" applyFill="1" applyBorder="1" applyAlignment="1">
      <alignment/>
    </xf>
    <xf numFmtId="164" fontId="0" fillId="7" borderId="12" xfId="0" applyNumberFormat="1" applyFont="1" applyFill="1" applyBorder="1" applyAlignment="1">
      <alignment/>
    </xf>
    <xf numFmtId="1" fontId="28" fillId="33" borderId="28" xfId="59" applyNumberFormat="1" applyFont="1" applyFill="1" applyBorder="1" applyAlignment="1">
      <alignment horizontal="center"/>
    </xf>
    <xf numFmtId="6" fontId="0" fillId="7" borderId="12" xfId="0" applyNumberFormat="1" applyFont="1" applyFill="1" applyBorder="1" applyAlignment="1" quotePrefix="1">
      <alignment/>
    </xf>
    <xf numFmtId="0" fontId="0" fillId="0" borderId="0" xfId="0" applyFont="1" applyBorder="1" applyAlignment="1">
      <alignment/>
    </xf>
    <xf numFmtId="1" fontId="0" fillId="7" borderId="0" xfId="0" applyNumberFormat="1" applyFont="1" applyFill="1" applyBorder="1" applyAlignment="1">
      <alignment horizontal="center"/>
    </xf>
    <xf numFmtId="0" fontId="0" fillId="7" borderId="24" xfId="0" applyFont="1" applyFill="1" applyBorder="1" applyAlignment="1">
      <alignment horizontal="center"/>
    </xf>
    <xf numFmtId="1" fontId="0" fillId="7" borderId="24" xfId="0" applyNumberFormat="1" applyFont="1" applyFill="1" applyBorder="1" applyAlignment="1">
      <alignment horizontal="center"/>
    </xf>
    <xf numFmtId="0" fontId="0" fillId="7" borderId="13" xfId="0" applyFont="1" applyFill="1" applyBorder="1" applyAlignment="1">
      <alignment/>
    </xf>
    <xf numFmtId="0" fontId="0" fillId="7" borderId="18" xfId="0" applyFont="1" applyFill="1" applyBorder="1" applyAlignment="1">
      <alignment horizontal="left"/>
    </xf>
    <xf numFmtId="0" fontId="0" fillId="7" borderId="34" xfId="0" applyFont="1" applyFill="1" applyBorder="1" applyAlignment="1">
      <alignment/>
    </xf>
    <xf numFmtId="6" fontId="0" fillId="7" borderId="35" xfId="0" applyNumberFormat="1" applyFont="1" applyFill="1" applyBorder="1" applyAlignment="1">
      <alignment horizontal="center"/>
    </xf>
    <xf numFmtId="0" fontId="50" fillId="7" borderId="16" xfId="53" applyFont="1" applyFill="1" applyBorder="1" applyAlignment="1">
      <alignment/>
    </xf>
    <xf numFmtId="1" fontId="0" fillId="7" borderId="12" xfId="0" applyNumberFormat="1" applyFont="1" applyFill="1" applyBorder="1" applyAlignment="1">
      <alignment/>
    </xf>
    <xf numFmtId="166" fontId="26" fillId="7" borderId="36" xfId="59" applyNumberFormat="1" applyFont="1" applyFill="1" applyBorder="1" applyAlignment="1">
      <alignment horizontal="center"/>
    </xf>
    <xf numFmtId="0" fontId="65" fillId="7" borderId="15" xfId="0" applyFont="1" applyFill="1" applyBorder="1" applyAlignment="1">
      <alignment/>
    </xf>
    <xf numFmtId="0" fontId="0" fillId="0" borderId="14" xfId="0" applyFont="1" applyBorder="1" applyAlignment="1">
      <alignment/>
    </xf>
    <xf numFmtId="0" fontId="59" fillId="7" borderId="15" xfId="0" applyFont="1" applyFill="1" applyBorder="1" applyAlignment="1" quotePrefix="1">
      <alignment/>
    </xf>
    <xf numFmtId="164" fontId="0" fillId="7" borderId="14" xfId="59" applyNumberFormat="1" applyFont="1" applyFill="1" applyBorder="1" applyAlignment="1">
      <alignment horizontal="right"/>
    </xf>
    <xf numFmtId="164" fontId="0" fillId="7" borderId="14" xfId="44" applyNumberFormat="1" applyFont="1" applyFill="1" applyBorder="1" applyAlignment="1">
      <alignment/>
    </xf>
    <xf numFmtId="164" fontId="59" fillId="7" borderId="14" xfId="44" applyNumberFormat="1" applyFont="1" applyFill="1" applyBorder="1" applyAlignment="1">
      <alignment/>
    </xf>
    <xf numFmtId="6" fontId="0" fillId="7" borderId="14" xfId="0" applyNumberFormat="1" applyFont="1" applyFill="1" applyBorder="1" applyAlignment="1" quotePrefix="1">
      <alignment/>
    </xf>
    <xf numFmtId="0" fontId="66" fillId="7" borderId="11" xfId="0" applyFont="1" applyFill="1" applyBorder="1" applyAlignment="1" quotePrefix="1">
      <alignment/>
    </xf>
    <xf numFmtId="0" fontId="58" fillId="7" borderId="17" xfId="0" applyFont="1" applyFill="1" applyBorder="1" applyAlignment="1">
      <alignment/>
    </xf>
    <xf numFmtId="0" fontId="58" fillId="7" borderId="0" xfId="0" applyFont="1" applyFill="1" applyBorder="1" applyAlignment="1">
      <alignment/>
    </xf>
    <xf numFmtId="0" fontId="0" fillId="7" borderId="37" xfId="0" applyFont="1" applyFill="1" applyBorder="1" applyAlignment="1">
      <alignment/>
    </xf>
    <xf numFmtId="0" fontId="0" fillId="7" borderId="38" xfId="0" applyFont="1" applyFill="1" applyBorder="1" applyAlignment="1">
      <alignment/>
    </xf>
    <xf numFmtId="0" fontId="0" fillId="7" borderId="39" xfId="0" applyFont="1" applyFill="1" applyBorder="1" applyAlignment="1">
      <alignment/>
    </xf>
    <xf numFmtId="0" fontId="0" fillId="7" borderId="40" xfId="0" applyFont="1" applyFill="1" applyBorder="1" applyAlignment="1">
      <alignment horizontal="center"/>
    </xf>
    <xf numFmtId="0" fontId="0" fillId="7" borderId="41" xfId="0" applyFont="1" applyFill="1" applyBorder="1" applyAlignment="1">
      <alignment horizontal="center"/>
    </xf>
    <xf numFmtId="0" fontId="0" fillId="7" borderId="42" xfId="0" applyFont="1" applyFill="1" applyBorder="1" applyAlignment="1">
      <alignment/>
    </xf>
    <xf numFmtId="164" fontId="28" fillId="2" borderId="0" xfId="59" applyNumberFormat="1" applyFont="1" applyFill="1" applyBorder="1" applyAlignment="1">
      <alignment horizontal="right"/>
    </xf>
    <xf numFmtId="6" fontId="0" fillId="2" borderId="13" xfId="0" applyNumberFormat="1" applyFont="1" applyFill="1" applyBorder="1" applyAlignment="1">
      <alignment/>
    </xf>
    <xf numFmtId="164" fontId="28" fillId="33" borderId="12" xfId="59" applyNumberFormat="1" applyFont="1" applyFill="1" applyBorder="1" applyAlignment="1">
      <alignment horizontal="right"/>
    </xf>
    <xf numFmtId="164" fontId="28" fillId="33" borderId="14" xfId="59" applyNumberFormat="1" applyFont="1" applyFill="1" applyBorder="1" applyAlignment="1">
      <alignment horizontal="right"/>
    </xf>
    <xf numFmtId="0" fontId="58" fillId="5" borderId="15" xfId="0" applyFont="1" applyFill="1" applyBorder="1" applyAlignment="1">
      <alignment/>
    </xf>
    <xf numFmtId="0" fontId="0" fillId="5" borderId="14" xfId="0" applyFont="1" applyFill="1" applyBorder="1" applyAlignment="1">
      <alignment/>
    </xf>
    <xf numFmtId="0" fontId="50" fillId="5" borderId="12" xfId="53" applyFont="1" applyFill="1" applyBorder="1" applyAlignment="1">
      <alignment/>
    </xf>
    <xf numFmtId="10" fontId="0" fillId="5" borderId="12" xfId="0" applyNumberFormat="1" applyFont="1" applyFill="1" applyBorder="1" applyAlignment="1">
      <alignment/>
    </xf>
    <xf numFmtId="0" fontId="0" fillId="5" borderId="12" xfId="0" applyFont="1" applyFill="1" applyBorder="1" applyAlignment="1">
      <alignment/>
    </xf>
    <xf numFmtId="0" fontId="0" fillId="5" borderId="18" xfId="0" applyFont="1" applyFill="1" applyBorder="1" applyAlignment="1">
      <alignment/>
    </xf>
    <xf numFmtId="10" fontId="0" fillId="5" borderId="16" xfId="0" applyNumberFormat="1" applyFont="1" applyFill="1" applyBorder="1" applyAlignment="1">
      <alignment/>
    </xf>
    <xf numFmtId="0" fontId="0" fillId="5" borderId="12" xfId="0" applyNumberFormat="1" applyFont="1" applyFill="1" applyBorder="1" applyAlignment="1">
      <alignment/>
    </xf>
    <xf numFmtId="0" fontId="0" fillId="33" borderId="16" xfId="0" applyFont="1" applyFill="1" applyBorder="1" applyAlignment="1">
      <alignment horizontal="center"/>
    </xf>
    <xf numFmtId="0" fontId="0" fillId="2" borderId="13" xfId="0" applyFont="1" applyFill="1" applyBorder="1" applyAlignment="1">
      <alignment horizontal="center"/>
    </xf>
    <xf numFmtId="0" fontId="0" fillId="7" borderId="17" xfId="0" applyFont="1" applyFill="1" applyBorder="1" applyAlignment="1">
      <alignment horizontal="right"/>
    </xf>
    <xf numFmtId="0" fontId="0" fillId="7" borderId="16" xfId="0" applyFont="1" applyFill="1" applyBorder="1" applyAlignment="1">
      <alignment horizontal="center"/>
    </xf>
    <xf numFmtId="0" fontId="58" fillId="33" borderId="43" xfId="0" applyFont="1" applyFill="1" applyBorder="1" applyAlignment="1">
      <alignment/>
    </xf>
    <xf numFmtId="0" fontId="30" fillId="33" borderId="44" xfId="0" applyFont="1" applyFill="1" applyBorder="1" applyAlignment="1">
      <alignment/>
    </xf>
    <xf numFmtId="0" fontId="58" fillId="33" borderId="45" xfId="0" applyFont="1" applyFill="1" applyBorder="1" applyAlignment="1">
      <alignment/>
    </xf>
    <xf numFmtId="0" fontId="30" fillId="33" borderId="46" xfId="0" applyFont="1" applyFill="1" applyBorder="1" applyAlignment="1">
      <alignment/>
    </xf>
    <xf numFmtId="0" fontId="0" fillId="33" borderId="47" xfId="0" applyFont="1" applyFill="1" applyBorder="1" applyAlignment="1">
      <alignment/>
    </xf>
    <xf numFmtId="0" fontId="0" fillId="33" borderId="45" xfId="0" applyFont="1" applyFill="1" applyBorder="1" applyAlignment="1">
      <alignment/>
    </xf>
    <xf numFmtId="0" fontId="0" fillId="33" borderId="48" xfId="0" applyFont="1" applyFill="1" applyBorder="1" applyAlignment="1">
      <alignment/>
    </xf>
    <xf numFmtId="0" fontId="0" fillId="33" borderId="49" xfId="0" applyFont="1" applyFill="1" applyBorder="1" applyAlignment="1">
      <alignment/>
    </xf>
    <xf numFmtId="0" fontId="58" fillId="35" borderId="15" xfId="0" applyFont="1" applyFill="1" applyBorder="1" applyAlignment="1">
      <alignment/>
    </xf>
    <xf numFmtId="0" fontId="58" fillId="35" borderId="17" xfId="0" applyFont="1" applyFill="1" applyBorder="1" applyAlignment="1">
      <alignment/>
    </xf>
    <xf numFmtId="0" fontId="50" fillId="35" borderId="11" xfId="53" applyFont="1" applyFill="1" applyBorder="1" applyAlignment="1">
      <alignment/>
    </xf>
    <xf numFmtId="0" fontId="0" fillId="35" borderId="14" xfId="0" applyFont="1" applyFill="1" applyBorder="1" applyAlignment="1">
      <alignment/>
    </xf>
    <xf numFmtId="0" fontId="0" fillId="35" borderId="0" xfId="0" applyFont="1" applyFill="1" applyBorder="1" applyAlignment="1">
      <alignment/>
    </xf>
    <xf numFmtId="0" fontId="50" fillId="35" borderId="12" xfId="53" applyFont="1" applyFill="1" applyBorder="1" applyAlignment="1">
      <alignment/>
    </xf>
    <xf numFmtId="0" fontId="0" fillId="35" borderId="14" xfId="0" applyFont="1" applyFill="1" applyBorder="1" applyAlignment="1" applyProtection="1">
      <alignment/>
      <protection locked="0"/>
    </xf>
    <xf numFmtId="0" fontId="0" fillId="35" borderId="0" xfId="0" applyFont="1" applyFill="1" applyBorder="1" applyAlignment="1" applyProtection="1">
      <alignment/>
      <protection locked="0"/>
    </xf>
    <xf numFmtId="0" fontId="0" fillId="35" borderId="12" xfId="0" applyFont="1" applyFill="1" applyBorder="1" applyAlignment="1">
      <alignment/>
    </xf>
    <xf numFmtId="10" fontId="0" fillId="35" borderId="12" xfId="0" applyNumberFormat="1" applyFont="1" applyFill="1" applyBorder="1" applyAlignment="1">
      <alignment/>
    </xf>
    <xf numFmtId="0" fontId="0" fillId="35" borderId="18" xfId="0" applyFont="1" applyFill="1" applyBorder="1" applyAlignment="1">
      <alignment/>
    </xf>
    <xf numFmtId="0" fontId="0" fillId="35" borderId="13" xfId="0" applyFont="1" applyFill="1" applyBorder="1" applyAlignment="1">
      <alignment/>
    </xf>
    <xf numFmtId="0" fontId="0" fillId="35" borderId="16" xfId="0" applyFont="1" applyFill="1" applyBorder="1" applyAlignment="1">
      <alignment/>
    </xf>
    <xf numFmtId="0" fontId="61" fillId="33" borderId="44" xfId="0" applyFont="1" applyFill="1" applyBorder="1" applyAlignment="1">
      <alignment/>
    </xf>
    <xf numFmtId="0" fontId="0" fillId="33" borderId="46" xfId="0" applyFont="1" applyFill="1" applyBorder="1" applyAlignment="1">
      <alignment/>
    </xf>
    <xf numFmtId="166" fontId="28" fillId="33" borderId="46" xfId="60" applyNumberFormat="1" applyFont="1" applyFill="1" applyBorder="1" applyAlignment="1">
      <alignment horizontal="center"/>
    </xf>
    <xf numFmtId="166" fontId="0" fillId="0" borderId="0" xfId="0" applyNumberFormat="1" applyAlignment="1">
      <alignment/>
    </xf>
    <xf numFmtId="0" fontId="0" fillId="6" borderId="50" xfId="0" applyFill="1" applyBorder="1" applyAlignment="1">
      <alignment/>
    </xf>
    <xf numFmtId="0" fontId="0" fillId="6" borderId="44" xfId="0" applyFill="1" applyBorder="1" applyAlignment="1">
      <alignment/>
    </xf>
    <xf numFmtId="0" fontId="0" fillId="6" borderId="45" xfId="0" applyFill="1" applyBorder="1" applyAlignment="1">
      <alignment/>
    </xf>
    <xf numFmtId="0" fontId="0" fillId="6" borderId="0" xfId="0" applyFill="1" applyBorder="1" applyAlignment="1">
      <alignment/>
    </xf>
    <xf numFmtId="0" fontId="0" fillId="6" borderId="46" xfId="0" applyFill="1" applyBorder="1" applyAlignment="1">
      <alignment/>
    </xf>
    <xf numFmtId="0" fontId="0" fillId="33" borderId="45" xfId="0" applyFill="1" applyBorder="1" applyAlignment="1">
      <alignment/>
    </xf>
    <xf numFmtId="0" fontId="0" fillId="33" borderId="0" xfId="0" applyFill="1" applyBorder="1" applyAlignment="1">
      <alignment wrapText="1"/>
    </xf>
    <xf numFmtId="0" fontId="0" fillId="33" borderId="46" xfId="0" applyFill="1" applyBorder="1" applyAlignment="1">
      <alignment/>
    </xf>
    <xf numFmtId="0" fontId="0" fillId="33" borderId="48" xfId="0" applyFill="1" applyBorder="1" applyAlignment="1">
      <alignment/>
    </xf>
    <xf numFmtId="1" fontId="0" fillId="6" borderId="46" xfId="0" applyNumberFormat="1" applyFill="1" applyBorder="1" applyAlignment="1">
      <alignment/>
    </xf>
    <xf numFmtId="8" fontId="0" fillId="6" borderId="0" xfId="0" applyNumberFormat="1" applyFill="1" applyBorder="1" applyAlignment="1">
      <alignment/>
    </xf>
    <xf numFmtId="8" fontId="0" fillId="6" borderId="46" xfId="0" applyNumberFormat="1" applyFill="1" applyBorder="1" applyAlignment="1">
      <alignment/>
    </xf>
    <xf numFmtId="10" fontId="0" fillId="6" borderId="0" xfId="59" applyNumberFormat="1" applyFont="1" applyFill="1" applyBorder="1" applyAlignment="1">
      <alignment/>
    </xf>
    <xf numFmtId="164" fontId="0" fillId="6" borderId="44" xfId="0" applyNumberFormat="1" applyFill="1" applyBorder="1" applyAlignment="1">
      <alignment/>
    </xf>
    <xf numFmtId="8" fontId="28" fillId="6" borderId="51" xfId="60" applyNumberFormat="1" applyFont="1" applyFill="1" applyBorder="1" applyAlignment="1">
      <alignment horizontal="center"/>
    </xf>
    <xf numFmtId="8" fontId="0" fillId="6" borderId="49" xfId="0" applyNumberFormat="1" applyFill="1" applyBorder="1" applyAlignment="1">
      <alignment/>
    </xf>
    <xf numFmtId="8" fontId="28" fillId="33" borderId="49" xfId="60" applyNumberFormat="1" applyFont="1" applyFill="1" applyBorder="1" applyAlignment="1">
      <alignment horizontal="center"/>
    </xf>
    <xf numFmtId="166" fontId="28" fillId="2" borderId="0" xfId="59" applyNumberFormat="1" applyFont="1" applyFill="1" applyBorder="1" applyAlignment="1">
      <alignment horizontal="center"/>
    </xf>
    <xf numFmtId="0" fontId="0" fillId="5" borderId="15" xfId="0" applyFont="1" applyFill="1" applyBorder="1" applyAlignment="1">
      <alignment/>
    </xf>
    <xf numFmtId="0" fontId="0" fillId="5" borderId="11" xfId="0" applyFont="1" applyFill="1" applyBorder="1" applyAlignment="1">
      <alignment/>
    </xf>
    <xf numFmtId="10" fontId="0" fillId="0" borderId="0" xfId="0" applyNumberFormat="1" applyFont="1" applyAlignment="1">
      <alignment/>
    </xf>
    <xf numFmtId="0" fontId="0" fillId="33" borderId="43" xfId="0" applyFont="1" applyFill="1" applyBorder="1" applyAlignment="1">
      <alignment/>
    </xf>
    <xf numFmtId="0" fontId="0" fillId="33" borderId="44" xfId="0" applyFont="1" applyFill="1" applyBorder="1" applyAlignment="1">
      <alignment/>
    </xf>
    <xf numFmtId="166" fontId="28" fillId="33" borderId="49" xfId="60" applyNumberFormat="1" applyFont="1" applyFill="1" applyBorder="1" applyAlignment="1">
      <alignment horizontal="center"/>
    </xf>
    <xf numFmtId="0" fontId="0" fillId="5" borderId="45" xfId="0" applyFill="1" applyBorder="1" applyAlignment="1">
      <alignment/>
    </xf>
    <xf numFmtId="0" fontId="0" fillId="5" borderId="46" xfId="0" applyFill="1" applyBorder="1" applyAlignment="1">
      <alignment/>
    </xf>
    <xf numFmtId="166" fontId="0" fillId="5" borderId="45" xfId="0" applyNumberFormat="1" applyFill="1" applyBorder="1" applyAlignment="1">
      <alignment/>
    </xf>
    <xf numFmtId="166" fontId="0" fillId="5" borderId="48" xfId="0" applyNumberFormat="1" applyFill="1" applyBorder="1" applyAlignment="1">
      <alignment/>
    </xf>
    <xf numFmtId="0" fontId="0" fillId="5" borderId="49" xfId="0" applyFill="1" applyBorder="1" applyAlignment="1">
      <alignment/>
    </xf>
    <xf numFmtId="0" fontId="0" fillId="33" borderId="50" xfId="0" applyFont="1" applyFill="1" applyBorder="1" applyAlignment="1">
      <alignment/>
    </xf>
    <xf numFmtId="166" fontId="28" fillId="33" borderId="51" xfId="60" applyNumberFormat="1" applyFont="1" applyFill="1" applyBorder="1" applyAlignment="1">
      <alignment horizontal="center"/>
    </xf>
    <xf numFmtId="0" fontId="50" fillId="0" borderId="0" xfId="53" applyAlignment="1">
      <alignment/>
    </xf>
    <xf numFmtId="8" fontId="28" fillId="33" borderId="51" xfId="60" applyNumberFormat="1" applyFont="1" applyFill="1" applyBorder="1" applyAlignment="1">
      <alignment horizontal="center"/>
    </xf>
    <xf numFmtId="8" fontId="0" fillId="6" borderId="51" xfId="0" applyNumberFormat="1" applyFill="1" applyBorder="1" applyAlignment="1">
      <alignment/>
    </xf>
    <xf numFmtId="8" fontId="28" fillId="6" borderId="50" xfId="60" applyNumberFormat="1" applyFont="1" applyFill="1" applyBorder="1" applyAlignment="1">
      <alignment horizontal="center"/>
    </xf>
    <xf numFmtId="8" fontId="0" fillId="6" borderId="50" xfId="0" applyNumberFormat="1" applyFill="1" applyBorder="1" applyAlignment="1">
      <alignment/>
    </xf>
    <xf numFmtId="8" fontId="0" fillId="6" borderId="44" xfId="0" applyNumberFormat="1" applyFill="1" applyBorder="1" applyAlignment="1">
      <alignment/>
    </xf>
    <xf numFmtId="8" fontId="0" fillId="0" borderId="0" xfId="0" applyNumberFormat="1" applyFont="1" applyAlignment="1">
      <alignment/>
    </xf>
    <xf numFmtId="9" fontId="0" fillId="0" borderId="0" xfId="59" applyFont="1" applyAlignment="1">
      <alignment/>
    </xf>
    <xf numFmtId="168" fontId="0" fillId="0" borderId="0" xfId="0" applyNumberFormat="1" applyFont="1" applyAlignment="1">
      <alignment/>
    </xf>
    <xf numFmtId="0" fontId="0" fillId="0" borderId="0" xfId="0" applyFont="1" applyFill="1" applyBorder="1" applyAlignment="1">
      <alignment/>
    </xf>
    <xf numFmtId="169" fontId="0" fillId="0" borderId="0" xfId="0" applyNumberFormat="1" applyFont="1" applyAlignment="1">
      <alignment/>
    </xf>
    <xf numFmtId="10" fontId="0" fillId="7" borderId="0" xfId="59" applyNumberFormat="1" applyFont="1" applyFill="1" applyBorder="1" applyAlignment="1">
      <alignment/>
    </xf>
    <xf numFmtId="10" fontId="0" fillId="7" borderId="46" xfId="59" applyNumberFormat="1" applyFont="1" applyFill="1" applyBorder="1" applyAlignment="1">
      <alignment/>
    </xf>
    <xf numFmtId="1" fontId="59" fillId="7" borderId="12" xfId="0" applyNumberFormat="1" applyFont="1" applyFill="1" applyBorder="1" applyAlignment="1">
      <alignment/>
    </xf>
    <xf numFmtId="10" fontId="0" fillId="7" borderId="50" xfId="0" applyNumberFormat="1" applyFill="1" applyBorder="1" applyAlignment="1">
      <alignment/>
    </xf>
    <xf numFmtId="10" fontId="0" fillId="7" borderId="44" xfId="0" applyNumberFormat="1" applyFill="1" applyBorder="1" applyAlignment="1">
      <alignment/>
    </xf>
    <xf numFmtId="0" fontId="0" fillId="7" borderId="45" xfId="0" applyFill="1" applyBorder="1" applyAlignment="1">
      <alignment/>
    </xf>
    <xf numFmtId="0" fontId="0" fillId="7" borderId="48" xfId="0" applyFill="1" applyBorder="1" applyAlignment="1">
      <alignment/>
    </xf>
    <xf numFmtId="10" fontId="0" fillId="7" borderId="51" xfId="0" applyNumberFormat="1" applyFill="1" applyBorder="1" applyAlignment="1">
      <alignment/>
    </xf>
    <xf numFmtId="10" fontId="0" fillId="7" borderId="49" xfId="0" applyNumberFormat="1" applyFill="1" applyBorder="1" applyAlignment="1">
      <alignment/>
    </xf>
    <xf numFmtId="0" fontId="0" fillId="7" borderId="16" xfId="0" applyFont="1" applyFill="1" applyBorder="1" applyAlignment="1">
      <alignment horizontal="center" vertical="center" wrapText="1"/>
    </xf>
    <xf numFmtId="0" fontId="58" fillId="7" borderId="0" xfId="0" applyFont="1" applyFill="1" applyBorder="1" applyAlignment="1">
      <alignment horizontal="center"/>
    </xf>
    <xf numFmtId="0" fontId="58" fillId="7" borderId="23" xfId="0" applyFont="1" applyFill="1" applyBorder="1" applyAlignment="1">
      <alignment horizontal="center"/>
    </xf>
    <xf numFmtId="0" fontId="65" fillId="7" borderId="14" xfId="0" applyFont="1" applyFill="1" applyBorder="1" applyAlignment="1">
      <alignment/>
    </xf>
    <xf numFmtId="0" fontId="0" fillId="7" borderId="15" xfId="0" applyFont="1" applyFill="1" applyBorder="1" applyAlignment="1">
      <alignment/>
    </xf>
    <xf numFmtId="6" fontId="0" fillId="7" borderId="17" xfId="0" applyNumberFormat="1" applyFont="1" applyFill="1" applyBorder="1" applyAlignment="1">
      <alignment horizontal="right"/>
    </xf>
    <xf numFmtId="6" fontId="0" fillId="7" borderId="11" xfId="0" applyNumberFormat="1" applyFont="1" applyFill="1" applyBorder="1" applyAlignment="1">
      <alignment horizontal="right"/>
    </xf>
    <xf numFmtId="164" fontId="0" fillId="7" borderId="14" xfId="0" applyNumberFormat="1" applyFont="1" applyFill="1" applyBorder="1" applyAlignment="1">
      <alignment horizontal="right"/>
    </xf>
    <xf numFmtId="164" fontId="0" fillId="7" borderId="0" xfId="44" applyNumberFormat="1" applyFont="1" applyFill="1" applyBorder="1" applyAlignment="1">
      <alignment horizontal="right"/>
    </xf>
    <xf numFmtId="164" fontId="0" fillId="7" borderId="14" xfId="0" applyNumberFormat="1" applyFont="1" applyFill="1" applyBorder="1" applyAlignment="1">
      <alignment horizontal="right" vertical="center" wrapText="1"/>
    </xf>
    <xf numFmtId="164" fontId="0" fillId="7" borderId="12" xfId="0" applyNumberFormat="1" applyFont="1" applyFill="1" applyBorder="1" applyAlignment="1">
      <alignment horizontal="right" vertical="center" wrapText="1"/>
    </xf>
    <xf numFmtId="166" fontId="0" fillId="7" borderId="13" xfId="59" applyNumberFormat="1" applyFont="1" applyFill="1" applyBorder="1" applyAlignment="1">
      <alignment/>
    </xf>
    <xf numFmtId="166" fontId="0" fillId="7" borderId="16" xfId="59" applyNumberFormat="1" applyFont="1" applyFill="1" applyBorder="1" applyAlignment="1">
      <alignment/>
    </xf>
    <xf numFmtId="166" fontId="0" fillId="7" borderId="18" xfId="59" applyNumberFormat="1" applyFont="1" applyFill="1" applyBorder="1" applyAlignment="1">
      <alignment/>
    </xf>
    <xf numFmtId="164" fontId="0" fillId="7" borderId="11" xfId="0" applyNumberFormat="1" applyFont="1" applyFill="1" applyBorder="1" applyAlignment="1">
      <alignment horizontal="right"/>
    </xf>
    <xf numFmtId="6" fontId="59" fillId="7" borderId="37" xfId="0" applyNumberFormat="1" applyFont="1" applyFill="1" applyBorder="1" applyAlignment="1">
      <alignment horizontal="right"/>
    </xf>
    <xf numFmtId="6" fontId="59" fillId="7" borderId="52" xfId="0" applyNumberFormat="1" applyFont="1" applyFill="1" applyBorder="1" applyAlignment="1">
      <alignment horizontal="right"/>
    </xf>
    <xf numFmtId="164" fontId="59" fillId="7" borderId="26" xfId="0" applyNumberFormat="1" applyFont="1" applyFill="1" applyBorder="1" applyAlignment="1">
      <alignment horizontal="right"/>
    </xf>
    <xf numFmtId="164" fontId="59" fillId="7" borderId="52" xfId="0" applyNumberFormat="1" applyFont="1" applyFill="1" applyBorder="1" applyAlignment="1">
      <alignment horizontal="right"/>
    </xf>
    <xf numFmtId="164" fontId="0" fillId="7" borderId="24" xfId="0" applyNumberFormat="1" applyFont="1" applyFill="1" applyBorder="1" applyAlignment="1">
      <alignment horizontal="right"/>
    </xf>
    <xf numFmtId="164" fontId="0" fillId="7" borderId="40" xfId="0" applyNumberFormat="1" applyFont="1" applyFill="1" applyBorder="1" applyAlignment="1">
      <alignment horizontal="right"/>
    </xf>
    <xf numFmtId="164" fontId="0" fillId="7" borderId="53" xfId="0" applyNumberFormat="1" applyFont="1" applyFill="1" applyBorder="1" applyAlignment="1">
      <alignment horizontal="right"/>
    </xf>
    <xf numFmtId="164" fontId="0" fillId="7" borderId="13" xfId="0" applyNumberFormat="1" applyFont="1" applyFill="1" applyBorder="1" applyAlignment="1">
      <alignment horizontal="right"/>
    </xf>
    <xf numFmtId="164" fontId="0" fillId="7" borderId="25" xfId="0" applyNumberFormat="1" applyFont="1" applyFill="1" applyBorder="1" applyAlignment="1">
      <alignment horizontal="right"/>
    </xf>
    <xf numFmtId="0" fontId="58" fillId="7" borderId="54" xfId="0" applyFont="1" applyFill="1" applyBorder="1" applyAlignment="1">
      <alignment horizontal="left"/>
    </xf>
    <xf numFmtId="1" fontId="0" fillId="7" borderId="55" xfId="0" applyNumberFormat="1" applyFont="1" applyFill="1" applyBorder="1" applyAlignment="1">
      <alignment horizontal="center"/>
    </xf>
    <xf numFmtId="1" fontId="0" fillId="7" borderId="56" xfId="0" applyNumberFormat="1" applyFont="1" applyFill="1" applyBorder="1" applyAlignment="1">
      <alignment horizontal="center"/>
    </xf>
    <xf numFmtId="0" fontId="58" fillId="7" borderId="14" xfId="0" applyFont="1" applyFill="1" applyBorder="1" applyAlignment="1">
      <alignment horizontal="center"/>
    </xf>
    <xf numFmtId="0" fontId="58" fillId="7" borderId="12" xfId="0" applyFont="1" applyFill="1" applyBorder="1" applyAlignment="1">
      <alignment horizontal="center"/>
    </xf>
    <xf numFmtId="0" fontId="58" fillId="7" borderId="18" xfId="0" applyFont="1" applyFill="1" applyBorder="1" applyAlignment="1">
      <alignment horizontal="center"/>
    </xf>
    <xf numFmtId="0" fontId="58" fillId="7" borderId="16" xfId="0" applyFont="1" applyFill="1" applyBorder="1" applyAlignment="1">
      <alignment horizontal="center"/>
    </xf>
    <xf numFmtId="8" fontId="0" fillId="0" borderId="0" xfId="0" applyNumberFormat="1" applyAlignment="1">
      <alignment/>
    </xf>
    <xf numFmtId="6" fontId="59" fillId="7" borderId="0" xfId="0" applyNumberFormat="1" applyFont="1" applyFill="1" applyBorder="1" applyAlignment="1">
      <alignment horizontal="right"/>
    </xf>
    <xf numFmtId="6" fontId="59" fillId="7" borderId="12" xfId="0" applyNumberFormat="1" applyFont="1" applyFill="1" applyBorder="1" applyAlignment="1">
      <alignment horizontal="right"/>
    </xf>
    <xf numFmtId="164" fontId="59" fillId="7" borderId="12" xfId="0" applyNumberFormat="1" applyFont="1" applyFill="1" applyBorder="1" applyAlignment="1">
      <alignment horizontal="right"/>
    </xf>
    <xf numFmtId="0" fontId="0" fillId="0" borderId="0" xfId="0" applyBorder="1" applyAlignment="1">
      <alignment/>
    </xf>
    <xf numFmtId="0" fontId="65" fillId="7" borderId="18" xfId="0" applyFont="1" applyFill="1" applyBorder="1" applyAlignment="1">
      <alignment/>
    </xf>
    <xf numFmtId="0" fontId="58" fillId="7" borderId="13" xfId="0" applyFont="1" applyFill="1" applyBorder="1" applyAlignment="1">
      <alignment horizontal="center"/>
    </xf>
    <xf numFmtId="0" fontId="0" fillId="7" borderId="18" xfId="0" applyFill="1" applyBorder="1" applyAlignment="1">
      <alignment/>
    </xf>
    <xf numFmtId="6" fontId="0" fillId="7" borderId="13" xfId="0" applyNumberFormat="1" applyFill="1" applyBorder="1" applyAlignment="1">
      <alignment/>
    </xf>
    <xf numFmtId="164" fontId="0" fillId="7" borderId="17" xfId="0" applyNumberFormat="1" applyFont="1" applyFill="1" applyBorder="1" applyAlignment="1">
      <alignment horizontal="right"/>
    </xf>
    <xf numFmtId="164" fontId="59" fillId="7" borderId="0" xfId="0" applyNumberFormat="1" applyFont="1" applyFill="1" applyBorder="1" applyAlignment="1">
      <alignment horizontal="right"/>
    </xf>
    <xf numFmtId="164" fontId="0" fillId="7" borderId="16" xfId="0" applyNumberFormat="1" applyFill="1" applyBorder="1" applyAlignment="1">
      <alignment/>
    </xf>
    <xf numFmtId="164" fontId="0" fillId="7" borderId="13" xfId="0" applyNumberFormat="1" applyFill="1" applyBorder="1" applyAlignment="1">
      <alignment/>
    </xf>
    <xf numFmtId="0" fontId="62" fillId="34" borderId="11" xfId="0" applyFont="1" applyFill="1" applyBorder="1" applyAlignment="1">
      <alignment/>
    </xf>
    <xf numFmtId="0" fontId="58" fillId="7" borderId="17" xfId="0" applyFont="1" applyFill="1" applyBorder="1" applyAlignment="1">
      <alignment horizontal="center"/>
    </xf>
    <xf numFmtId="0" fontId="58" fillId="7" borderId="15" xfId="0" applyFont="1" applyFill="1" applyBorder="1" applyAlignment="1">
      <alignment horizontal="center"/>
    </xf>
    <xf numFmtId="0" fontId="64" fillId="7" borderId="15" xfId="0" applyFont="1" applyFill="1" applyBorder="1" applyAlignment="1">
      <alignment/>
    </xf>
    <xf numFmtId="0" fontId="63" fillId="7" borderId="17" xfId="0" applyFont="1" applyFill="1" applyBorder="1" applyAlignment="1">
      <alignment/>
    </xf>
    <xf numFmtId="0" fontId="63" fillId="7" borderId="11" xfId="0" applyFont="1" applyFill="1" applyBorder="1" applyAlignment="1">
      <alignment/>
    </xf>
    <xf numFmtId="164" fontId="0" fillId="7" borderId="16" xfId="0" applyNumberFormat="1" applyFont="1" applyFill="1" applyBorder="1" applyAlignment="1">
      <alignment horizontal="right"/>
    </xf>
    <xf numFmtId="10" fontId="0" fillId="0" borderId="0" xfId="0" applyNumberFormat="1" applyAlignment="1">
      <alignment/>
    </xf>
    <xf numFmtId="164" fontId="0" fillId="0" borderId="0" xfId="0" applyNumberFormat="1" applyFont="1" applyAlignment="1">
      <alignment/>
    </xf>
    <xf numFmtId="0" fontId="58" fillId="7" borderId="24" xfId="0" applyFont="1" applyFill="1" applyBorder="1" applyAlignment="1">
      <alignment horizontal="center"/>
    </xf>
    <xf numFmtId="10" fontId="0" fillId="35" borderId="16" xfId="0" applyNumberFormat="1" applyFont="1" applyFill="1" applyBorder="1" applyAlignment="1">
      <alignment/>
    </xf>
    <xf numFmtId="10" fontId="0" fillId="7" borderId="12" xfId="59" applyNumberFormat="1" applyFont="1" applyFill="1" applyBorder="1" applyAlignment="1">
      <alignment horizontal="center"/>
    </xf>
    <xf numFmtId="0" fontId="0" fillId="0" borderId="17" xfId="0" applyFont="1" applyBorder="1" applyAlignment="1">
      <alignment/>
    </xf>
    <xf numFmtId="0" fontId="0" fillId="7" borderId="57" xfId="0" applyFont="1" applyFill="1" applyBorder="1" applyAlignment="1">
      <alignment/>
    </xf>
    <xf numFmtId="0" fontId="0" fillId="7" borderId="58" xfId="0" applyFont="1" applyFill="1" applyBorder="1" applyAlignment="1">
      <alignment horizontal="center"/>
    </xf>
    <xf numFmtId="0" fontId="0" fillId="7" borderId="59" xfId="0" applyFont="1" applyFill="1" applyBorder="1" applyAlignment="1">
      <alignment horizontal="center"/>
    </xf>
    <xf numFmtId="0" fontId="61" fillId="35" borderId="17" xfId="0" applyFont="1" applyFill="1" applyBorder="1" applyAlignment="1">
      <alignment/>
    </xf>
    <xf numFmtId="0" fontId="66" fillId="35" borderId="11" xfId="53" applyFont="1" applyFill="1" applyBorder="1" applyAlignment="1">
      <alignment/>
    </xf>
    <xf numFmtId="10" fontId="0" fillId="35" borderId="0" xfId="0" applyNumberFormat="1" applyFont="1" applyFill="1" applyBorder="1" applyAlignment="1">
      <alignment/>
    </xf>
    <xf numFmtId="0" fontId="0" fillId="5" borderId="12" xfId="0" applyFill="1" applyBorder="1" applyAlignment="1">
      <alignment/>
    </xf>
    <xf numFmtId="10" fontId="0" fillId="5" borderId="14" xfId="0" applyNumberFormat="1" applyFill="1" applyBorder="1" applyAlignment="1">
      <alignment/>
    </xf>
    <xf numFmtId="0" fontId="50" fillId="5" borderId="18" xfId="53" applyFill="1" applyBorder="1" applyAlignment="1">
      <alignment wrapText="1"/>
    </xf>
    <xf numFmtId="0" fontId="50" fillId="5" borderId="16" xfId="53" applyFill="1" applyBorder="1" applyAlignment="1">
      <alignment wrapText="1"/>
    </xf>
    <xf numFmtId="170" fontId="0" fillId="0" borderId="0" xfId="59" applyNumberFormat="1" applyFont="1" applyAlignment="1">
      <alignment/>
    </xf>
    <xf numFmtId="6" fontId="0" fillId="0" borderId="0" xfId="0" applyNumberFormat="1" applyAlignment="1">
      <alignment/>
    </xf>
    <xf numFmtId="0" fontId="58" fillId="7" borderId="15" xfId="0" applyFont="1" applyFill="1" applyBorder="1" applyAlignment="1">
      <alignment horizontal="center"/>
    </xf>
    <xf numFmtId="0" fontId="58" fillId="7" borderId="17" xfId="0" applyFont="1" applyFill="1" applyBorder="1" applyAlignment="1">
      <alignment horizontal="center"/>
    </xf>
    <xf numFmtId="171" fontId="0" fillId="0" borderId="0" xfId="0" applyNumberFormat="1" applyFont="1" applyAlignment="1">
      <alignment/>
    </xf>
    <xf numFmtId="170" fontId="0" fillId="0" borderId="0" xfId="59" applyNumberFormat="1" applyFont="1" applyAlignment="1">
      <alignment/>
    </xf>
    <xf numFmtId="172" fontId="0" fillId="0" borderId="0" xfId="0" applyNumberFormat="1" applyFont="1" applyAlignment="1">
      <alignment/>
    </xf>
    <xf numFmtId="0" fontId="0" fillId="0" borderId="0" xfId="0" applyFont="1" applyFill="1" applyAlignment="1">
      <alignment/>
    </xf>
    <xf numFmtId="166" fontId="26" fillId="7" borderId="35" xfId="59" applyNumberFormat="1" applyFont="1" applyFill="1" applyBorder="1" applyAlignment="1">
      <alignment horizontal="center"/>
    </xf>
    <xf numFmtId="166" fontId="26" fillId="7" borderId="53" xfId="59" applyNumberFormat="1" applyFont="1" applyFill="1" applyBorder="1" applyAlignment="1">
      <alignment horizontal="center"/>
    </xf>
    <xf numFmtId="0" fontId="61" fillId="6" borderId="43" xfId="0" applyFont="1" applyFill="1" applyBorder="1" applyAlignment="1">
      <alignment/>
    </xf>
    <xf numFmtId="1" fontId="67" fillId="6" borderId="60" xfId="60" applyNumberFormat="1" applyFont="1" applyFill="1" applyBorder="1" applyAlignment="1">
      <alignment horizontal="center"/>
    </xf>
    <xf numFmtId="8" fontId="28" fillId="6" borderId="0" xfId="60" applyNumberFormat="1" applyFont="1" applyFill="1" applyBorder="1" applyAlignment="1">
      <alignment horizontal="center"/>
    </xf>
    <xf numFmtId="8" fontId="0" fillId="0" borderId="0" xfId="0" applyNumberFormat="1" applyBorder="1" applyAlignment="1">
      <alignment/>
    </xf>
    <xf numFmtId="0" fontId="30" fillId="6" borderId="50" xfId="0" applyFont="1" applyFill="1" applyBorder="1" applyAlignment="1">
      <alignment/>
    </xf>
    <xf numFmtId="8" fontId="28" fillId="33" borderId="0" xfId="60" applyNumberFormat="1" applyFont="1" applyFill="1" applyBorder="1" applyAlignment="1">
      <alignment horizontal="center"/>
    </xf>
    <xf numFmtId="8" fontId="28" fillId="33" borderId="46" xfId="60" applyNumberFormat="1" applyFont="1" applyFill="1" applyBorder="1" applyAlignment="1">
      <alignment horizontal="center"/>
    </xf>
    <xf numFmtId="0" fontId="30" fillId="33" borderId="17" xfId="0" applyFont="1" applyFill="1" applyBorder="1" applyAlignment="1">
      <alignment/>
    </xf>
    <xf numFmtId="0" fontId="0" fillId="33" borderId="11"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18" xfId="0" applyFill="1" applyBorder="1" applyAlignment="1">
      <alignment/>
    </xf>
    <xf numFmtId="8" fontId="28" fillId="33" borderId="13" xfId="60" applyNumberFormat="1" applyFont="1" applyFill="1" applyBorder="1" applyAlignment="1">
      <alignment horizontal="center"/>
    </xf>
    <xf numFmtId="8" fontId="28" fillId="33" borderId="16" xfId="60" applyNumberFormat="1" applyFont="1" applyFill="1" applyBorder="1" applyAlignment="1">
      <alignment horizontal="center"/>
    </xf>
    <xf numFmtId="0" fontId="50" fillId="0" borderId="61" xfId="53" applyBorder="1" applyAlignment="1">
      <alignment/>
    </xf>
    <xf numFmtId="0" fontId="50" fillId="36" borderId="61" xfId="53" applyFill="1" applyBorder="1" applyAlignment="1">
      <alignment wrapText="1"/>
    </xf>
    <xf numFmtId="0" fontId="50" fillId="5" borderId="14" xfId="53" applyFill="1" applyBorder="1" applyAlignment="1">
      <alignment wrapText="1"/>
    </xf>
    <xf numFmtId="9" fontId="0" fillId="7" borderId="0" xfId="59" applyFont="1" applyFill="1" applyBorder="1" applyAlignment="1">
      <alignment/>
    </xf>
    <xf numFmtId="0" fontId="0" fillId="7" borderId="62" xfId="0" applyFont="1" applyFill="1" applyBorder="1" applyAlignment="1">
      <alignment horizontal="right"/>
    </xf>
    <xf numFmtId="0" fontId="0" fillId="7" borderId="63" xfId="0" applyFont="1" applyFill="1" applyBorder="1" applyAlignment="1">
      <alignment horizontal="right"/>
    </xf>
    <xf numFmtId="6" fontId="0" fillId="7" borderId="64" xfId="0" applyNumberFormat="1" applyFont="1" applyFill="1" applyBorder="1" applyAlignment="1">
      <alignment/>
    </xf>
    <xf numFmtId="8" fontId="0" fillId="7" borderId="32" xfId="0" applyNumberFormat="1" applyFont="1" applyFill="1" applyBorder="1" applyAlignment="1">
      <alignment/>
    </xf>
    <xf numFmtId="9" fontId="0" fillId="7" borderId="65" xfId="59" applyNumberFormat="1" applyFont="1" applyFill="1" applyBorder="1" applyAlignment="1">
      <alignment/>
    </xf>
    <xf numFmtId="6" fontId="0" fillId="7" borderId="33" xfId="59" applyNumberFormat="1" applyFont="1" applyFill="1" applyBorder="1" applyAlignment="1">
      <alignment/>
    </xf>
    <xf numFmtId="166" fontId="26" fillId="7" borderId="52" xfId="59" applyNumberFormat="1" applyFont="1" applyFill="1" applyBorder="1" applyAlignment="1">
      <alignment horizontal="center"/>
    </xf>
    <xf numFmtId="166" fontId="26" fillId="7" borderId="12" xfId="59" applyNumberFormat="1" applyFont="1" applyFill="1" applyBorder="1" applyAlignment="1">
      <alignment horizontal="center"/>
    </xf>
    <xf numFmtId="0" fontId="58" fillId="7" borderId="43" xfId="0" applyFont="1" applyFill="1" applyBorder="1" applyAlignment="1">
      <alignment/>
    </xf>
    <xf numFmtId="0" fontId="30" fillId="2" borderId="11" xfId="0" applyFont="1" applyFill="1" applyBorder="1" applyAlignment="1">
      <alignment/>
    </xf>
    <xf numFmtId="6" fontId="28" fillId="33" borderId="12" xfId="60" applyNumberFormat="1" applyFont="1" applyFill="1" applyBorder="1" applyAlignment="1">
      <alignment horizontal="center"/>
    </xf>
    <xf numFmtId="0" fontId="0" fillId="7" borderId="14" xfId="0" applyFill="1" applyBorder="1" applyAlignment="1">
      <alignment/>
    </xf>
    <xf numFmtId="0" fontId="0" fillId="7" borderId="15" xfId="0" applyFill="1" applyBorder="1" applyAlignment="1">
      <alignment/>
    </xf>
    <xf numFmtId="0" fontId="0" fillId="7" borderId="17" xfId="0" applyFill="1" applyBorder="1" applyAlignment="1">
      <alignment/>
    </xf>
    <xf numFmtId="0" fontId="0" fillId="7" borderId="11" xfId="0" applyFill="1" applyBorder="1" applyAlignment="1">
      <alignment/>
    </xf>
    <xf numFmtId="0" fontId="0" fillId="7" borderId="0"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6" xfId="0" applyFill="1" applyBorder="1" applyAlignment="1">
      <alignment/>
    </xf>
    <xf numFmtId="0" fontId="59" fillId="7" borderId="17" xfId="0" applyFont="1" applyFill="1" applyBorder="1" applyAlignment="1">
      <alignment/>
    </xf>
    <xf numFmtId="0" fontId="0" fillId="33" borderId="17" xfId="0" applyFill="1" applyBorder="1" applyAlignment="1">
      <alignment wrapText="1"/>
    </xf>
    <xf numFmtId="8" fontId="0" fillId="33" borderId="66" xfId="0" applyNumberFormat="1" applyFill="1" applyBorder="1" applyAlignment="1">
      <alignment/>
    </xf>
    <xf numFmtId="0" fontId="0" fillId="6" borderId="17" xfId="0" applyFill="1" applyBorder="1" applyAlignment="1">
      <alignment wrapText="1"/>
    </xf>
    <xf numFmtId="164" fontId="0" fillId="6" borderId="17" xfId="0" applyNumberFormat="1" applyFill="1" applyBorder="1" applyAlignment="1">
      <alignment/>
    </xf>
    <xf numFmtId="8" fontId="0" fillId="6" borderId="11" xfId="0" applyNumberFormat="1" applyFill="1" applyBorder="1" applyAlignment="1">
      <alignment/>
    </xf>
    <xf numFmtId="0" fontId="0" fillId="33" borderId="14" xfId="0" applyFill="1" applyBorder="1" applyAlignment="1">
      <alignment wrapText="1"/>
    </xf>
    <xf numFmtId="8" fontId="0" fillId="6" borderId="12" xfId="0" applyNumberFormat="1" applyFill="1" applyBorder="1" applyAlignment="1">
      <alignment/>
    </xf>
    <xf numFmtId="0" fontId="0" fillId="33" borderId="13" xfId="0" applyFill="1" applyBorder="1" applyAlignment="1">
      <alignment/>
    </xf>
    <xf numFmtId="0" fontId="0" fillId="33" borderId="67" xfId="0" applyFill="1" applyBorder="1" applyAlignment="1">
      <alignment/>
    </xf>
    <xf numFmtId="0" fontId="0" fillId="6" borderId="68" xfId="0" applyFill="1" applyBorder="1" applyAlignment="1">
      <alignment/>
    </xf>
    <xf numFmtId="0" fontId="0" fillId="6" borderId="13" xfId="0" applyFill="1" applyBorder="1" applyAlignment="1">
      <alignment/>
    </xf>
    <xf numFmtId="0" fontId="0" fillId="6" borderId="16" xfId="0" applyFill="1" applyBorder="1" applyAlignment="1">
      <alignment/>
    </xf>
    <xf numFmtId="0" fontId="58" fillId="7" borderId="11" xfId="0" applyFont="1" applyFill="1" applyBorder="1" applyAlignment="1">
      <alignment horizontal="center"/>
    </xf>
    <xf numFmtId="164" fontId="0" fillId="0" borderId="0" xfId="0" applyNumberFormat="1" applyFont="1" applyBorder="1" applyAlignment="1">
      <alignment/>
    </xf>
    <xf numFmtId="10" fontId="0" fillId="0" borderId="0" xfId="59" applyNumberFormat="1" applyFont="1" applyAlignment="1">
      <alignment/>
    </xf>
    <xf numFmtId="0" fontId="0" fillId="7" borderId="15" xfId="0" applyFont="1" applyFill="1" applyBorder="1" applyAlignment="1">
      <alignment vertical="center"/>
    </xf>
    <xf numFmtId="1" fontId="0" fillId="7" borderId="11" xfId="0" applyNumberFormat="1" applyFont="1" applyFill="1" applyBorder="1" applyAlignment="1">
      <alignment horizontal="center" vertical="center"/>
    </xf>
    <xf numFmtId="0" fontId="0" fillId="7" borderId="14" xfId="0" applyFont="1" applyFill="1" applyBorder="1" applyAlignment="1">
      <alignment vertical="center"/>
    </xf>
    <xf numFmtId="1" fontId="0" fillId="7" borderId="12" xfId="0" applyNumberFormat="1" applyFont="1" applyFill="1" applyBorder="1" applyAlignment="1">
      <alignment horizontal="center" vertical="center"/>
    </xf>
    <xf numFmtId="0" fontId="0" fillId="7" borderId="14" xfId="0" applyFont="1" applyFill="1" applyBorder="1" applyAlignment="1">
      <alignment vertical="center" wrapText="1"/>
    </xf>
    <xf numFmtId="0" fontId="26" fillId="7" borderId="14" xfId="0" applyFont="1" applyFill="1" applyBorder="1" applyAlignment="1">
      <alignment vertical="center" wrapText="1"/>
    </xf>
    <xf numFmtId="0" fontId="0" fillId="7" borderId="26" xfId="0" applyFont="1" applyFill="1" applyBorder="1" applyAlignment="1">
      <alignment vertical="center" wrapText="1"/>
    </xf>
    <xf numFmtId="1" fontId="0" fillId="7" borderId="52" xfId="0" applyNumberFormat="1" applyFont="1" applyFill="1" applyBorder="1" applyAlignment="1">
      <alignment horizontal="center" vertical="center"/>
    </xf>
    <xf numFmtId="1" fontId="0" fillId="7" borderId="12" xfId="0" applyNumberFormat="1" applyFont="1" applyFill="1" applyBorder="1" applyAlignment="1" quotePrefix="1">
      <alignment horizontal="center" vertical="center"/>
    </xf>
    <xf numFmtId="0" fontId="0" fillId="7" borderId="18" xfId="0" applyFont="1" applyFill="1" applyBorder="1" applyAlignment="1">
      <alignment vertical="center"/>
    </xf>
    <xf numFmtId="1" fontId="0" fillId="7" borderId="16" xfId="0" applyNumberFormat="1" applyFont="1" applyFill="1" applyBorder="1" applyAlignment="1">
      <alignment horizontal="center" vertical="center"/>
    </xf>
    <xf numFmtId="0" fontId="26" fillId="7" borderId="26" xfId="0" applyFont="1" applyFill="1" applyBorder="1" applyAlignment="1">
      <alignment vertical="center" wrapText="1"/>
    </xf>
    <xf numFmtId="0" fontId="50" fillId="36" borderId="61" xfId="53" applyFill="1" applyBorder="1" applyAlignment="1">
      <alignment/>
    </xf>
    <xf numFmtId="0" fontId="58" fillId="5" borderId="14" xfId="0" applyFont="1" applyFill="1" applyBorder="1" applyAlignment="1">
      <alignment/>
    </xf>
    <xf numFmtId="0" fontId="30" fillId="7" borderId="17" xfId="0" applyFont="1" applyFill="1" applyBorder="1" applyAlignment="1">
      <alignment/>
    </xf>
    <xf numFmtId="0" fontId="30" fillId="7" borderId="0" xfId="0" applyFont="1" applyFill="1" applyBorder="1" applyAlignment="1">
      <alignment/>
    </xf>
    <xf numFmtId="0" fontId="60" fillId="7" borderId="12" xfId="0" applyFont="1" applyFill="1" applyBorder="1" applyAlignment="1">
      <alignment/>
    </xf>
    <xf numFmtId="164" fontId="60" fillId="7" borderId="12" xfId="0" applyNumberFormat="1" applyFont="1" applyFill="1" applyBorder="1" applyAlignment="1">
      <alignment horizontal="right"/>
    </xf>
    <xf numFmtId="166" fontId="60" fillId="7" borderId="16" xfId="59" applyNumberFormat="1" applyFont="1" applyFill="1" applyBorder="1" applyAlignment="1">
      <alignment/>
    </xf>
    <xf numFmtId="6" fontId="28" fillId="7" borderId="0" xfId="60" applyNumberFormat="1" applyFont="1" applyFill="1" applyBorder="1" applyAlignment="1">
      <alignment horizontal="center"/>
    </xf>
    <xf numFmtId="0" fontId="68" fillId="7" borderId="11" xfId="0" applyFont="1" applyFill="1" applyBorder="1" applyAlignment="1">
      <alignment/>
    </xf>
    <xf numFmtId="0" fontId="50" fillId="5" borderId="12" xfId="53" applyFill="1" applyBorder="1" applyAlignment="1">
      <alignment/>
    </xf>
    <xf numFmtId="0" fontId="0" fillId="7" borderId="16" xfId="0" applyFill="1" applyBorder="1" applyAlignment="1">
      <alignment vertical="top"/>
    </xf>
    <xf numFmtId="0" fontId="0" fillId="0" borderId="0" xfId="0" applyAlignment="1">
      <alignment vertical="top"/>
    </xf>
    <xf numFmtId="1" fontId="28" fillId="33" borderId="28" xfId="59" applyNumberFormat="1" applyFont="1" applyFill="1" applyBorder="1" applyAlignment="1" applyProtection="1">
      <alignment horizontal="center"/>
      <protection locked="0"/>
    </xf>
    <xf numFmtId="0" fontId="28" fillId="33" borderId="28" xfId="59" applyNumberFormat="1" applyFont="1" applyFill="1" applyBorder="1" applyAlignment="1" applyProtection="1">
      <alignment horizontal="left"/>
      <protection locked="0"/>
    </xf>
    <xf numFmtId="0" fontId="60" fillId="2" borderId="22" xfId="0" applyFont="1" applyFill="1" applyBorder="1" applyAlignment="1" applyProtection="1">
      <alignment horizontal="center"/>
      <protection locked="0"/>
    </xf>
    <xf numFmtId="9" fontId="28" fillId="33" borderId="28" xfId="59" applyFont="1" applyFill="1" applyBorder="1" applyAlignment="1" applyProtection="1">
      <alignment horizontal="center"/>
      <protection locked="0"/>
    </xf>
    <xf numFmtId="9" fontId="60" fillId="2" borderId="22" xfId="59" applyFont="1" applyFill="1" applyBorder="1" applyAlignment="1" applyProtection="1">
      <alignment horizontal="center"/>
      <protection locked="0"/>
    </xf>
    <xf numFmtId="6" fontId="28" fillId="33" borderId="28" xfId="60" applyNumberFormat="1" applyFont="1" applyFill="1" applyBorder="1" applyAlignment="1" applyProtection="1">
      <alignment horizontal="center"/>
      <protection locked="0"/>
    </xf>
    <xf numFmtId="164" fontId="60" fillId="2" borderId="22" xfId="44" applyNumberFormat="1" applyFont="1" applyFill="1" applyBorder="1" applyAlignment="1" applyProtection="1">
      <alignment horizontal="center"/>
      <protection locked="0"/>
    </xf>
    <xf numFmtId="164" fontId="28" fillId="33" borderId="28" xfId="59" applyNumberFormat="1" applyFont="1" applyFill="1" applyBorder="1" applyAlignment="1" applyProtection="1">
      <alignment horizontal="center"/>
      <protection locked="0"/>
    </xf>
    <xf numFmtId="164" fontId="60" fillId="2" borderId="22" xfId="59" applyNumberFormat="1" applyFont="1" applyFill="1" applyBorder="1" applyAlignment="1" applyProtection="1">
      <alignment horizontal="center"/>
      <protection locked="0"/>
    </xf>
    <xf numFmtId="6" fontId="28" fillId="33" borderId="69" xfId="60" applyNumberFormat="1" applyFont="1" applyFill="1" applyBorder="1" applyAlignment="1" applyProtection="1">
      <alignment horizontal="center"/>
      <protection locked="0"/>
    </xf>
    <xf numFmtId="164" fontId="28" fillId="33" borderId="70" xfId="59" applyNumberFormat="1" applyFont="1" applyFill="1" applyBorder="1" applyAlignment="1" applyProtection="1">
      <alignment horizontal="center"/>
      <protection locked="0"/>
    </xf>
    <xf numFmtId="6" fontId="28" fillId="33" borderId="71" xfId="60" applyNumberFormat="1" applyFont="1" applyFill="1" applyBorder="1" applyAlignment="1" applyProtection="1">
      <alignment horizontal="center"/>
      <protection locked="0"/>
    </xf>
    <xf numFmtId="164" fontId="28" fillId="33" borderId="72" xfId="59" applyNumberFormat="1" applyFont="1" applyFill="1" applyBorder="1" applyAlignment="1" applyProtection="1">
      <alignment horizontal="center"/>
      <protection locked="0"/>
    </xf>
    <xf numFmtId="164" fontId="28" fillId="33" borderId="73" xfId="44" applyNumberFormat="1" applyFont="1" applyFill="1" applyBorder="1" applyAlignment="1" applyProtection="1">
      <alignment horizontal="center"/>
      <protection locked="0"/>
    </xf>
    <xf numFmtId="164" fontId="28" fillId="2" borderId="74" xfId="44" applyNumberFormat="1" applyFont="1" applyFill="1" applyBorder="1" applyAlignment="1" applyProtection="1">
      <alignment horizontal="center"/>
      <protection locked="0"/>
    </xf>
    <xf numFmtId="10" fontId="28" fillId="33" borderId="73" xfId="59" applyNumberFormat="1" applyFont="1" applyFill="1" applyBorder="1" applyAlignment="1" applyProtection="1">
      <alignment horizontal="center"/>
      <protection locked="0"/>
    </xf>
    <xf numFmtId="10" fontId="28" fillId="2" borderId="74" xfId="59" applyNumberFormat="1" applyFont="1" applyFill="1" applyBorder="1" applyAlignment="1" applyProtection="1">
      <alignment horizontal="center"/>
      <protection locked="0"/>
    </xf>
    <xf numFmtId="166" fontId="28" fillId="33" borderId="28" xfId="59" applyNumberFormat="1" applyFont="1" applyFill="1" applyBorder="1" applyAlignment="1" applyProtection="1">
      <alignment horizontal="center"/>
      <protection locked="0"/>
    </xf>
    <xf numFmtId="166" fontId="28" fillId="2" borderId="74" xfId="59" applyNumberFormat="1" applyFont="1" applyFill="1" applyBorder="1" applyAlignment="1" applyProtection="1">
      <alignment horizontal="center"/>
      <protection locked="0"/>
    </xf>
    <xf numFmtId="164" fontId="28" fillId="33" borderId="75" xfId="59" applyNumberFormat="1" applyFont="1" applyFill="1" applyBorder="1" applyAlignment="1" applyProtection="1">
      <alignment horizontal="center"/>
      <protection locked="0"/>
    </xf>
    <xf numFmtId="164" fontId="0" fillId="2" borderId="22" xfId="59" applyNumberFormat="1" applyFont="1" applyFill="1" applyBorder="1" applyAlignment="1" applyProtection="1">
      <alignment horizontal="center"/>
      <protection locked="0"/>
    </xf>
    <xf numFmtId="164" fontId="28" fillId="33" borderId="75" xfId="44" applyNumberFormat="1" applyFont="1" applyFill="1" applyBorder="1" applyAlignment="1" applyProtection="1">
      <alignment horizontal="center"/>
      <protection locked="0"/>
    </xf>
    <xf numFmtId="164" fontId="0" fillId="2" borderId="22" xfId="44" applyNumberFormat="1" applyFont="1" applyFill="1" applyBorder="1" applyAlignment="1" applyProtection="1">
      <alignment horizontal="center"/>
      <protection locked="0"/>
    </xf>
    <xf numFmtId="9" fontId="0" fillId="2" borderId="22" xfId="59" applyFont="1" applyFill="1" applyBorder="1" applyAlignment="1" applyProtection="1">
      <alignment horizontal="center"/>
      <protection locked="0"/>
    </xf>
    <xf numFmtId="166" fontId="28" fillId="33" borderId="76" xfId="60" applyNumberFormat="1" applyFont="1" applyFill="1" applyBorder="1" applyAlignment="1" applyProtection="1">
      <alignment horizontal="center"/>
      <protection locked="0"/>
    </xf>
    <xf numFmtId="166" fontId="28" fillId="33" borderId="76" xfId="59" applyNumberFormat="1" applyFont="1" applyFill="1" applyBorder="1" applyAlignment="1" applyProtection="1">
      <alignment horizontal="center"/>
      <protection locked="0"/>
    </xf>
    <xf numFmtId="166" fontId="28" fillId="2" borderId="76" xfId="59" applyNumberFormat="1" applyFont="1" applyFill="1" applyBorder="1" applyAlignment="1" applyProtection="1">
      <alignment horizontal="center"/>
      <protection locked="0"/>
    </xf>
    <xf numFmtId="1" fontId="28" fillId="33" borderId="71" xfId="60" applyNumberFormat="1" applyFont="1" applyFill="1" applyBorder="1" applyAlignment="1" applyProtection="1">
      <alignment horizontal="center"/>
      <protection locked="0"/>
    </xf>
    <xf numFmtId="8" fontId="28" fillId="6" borderId="76" xfId="60" applyNumberFormat="1" applyFont="1" applyFill="1" applyBorder="1" applyAlignment="1" applyProtection="1">
      <alignment horizontal="center"/>
      <protection locked="0"/>
    </xf>
    <xf numFmtId="8" fontId="28" fillId="33" borderId="76" xfId="60" applyNumberFormat="1" applyFont="1" applyFill="1" applyBorder="1" applyAlignment="1" applyProtection="1">
      <alignment horizontal="center"/>
      <protection locked="0"/>
    </xf>
    <xf numFmtId="8" fontId="28" fillId="33" borderId="28" xfId="60" applyNumberFormat="1" applyFont="1" applyFill="1" applyBorder="1" applyAlignment="1" applyProtection="1">
      <alignment horizontal="center"/>
      <protection locked="0"/>
    </xf>
    <xf numFmtId="8" fontId="28" fillId="33" borderId="71" xfId="60" applyNumberFormat="1" applyFont="1" applyFill="1" applyBorder="1" applyAlignment="1" applyProtection="1">
      <alignment horizontal="center"/>
      <protection locked="0"/>
    </xf>
    <xf numFmtId="10" fontId="28" fillId="33" borderId="76" xfId="59" applyNumberFormat="1" applyFont="1" applyFill="1" applyBorder="1" applyAlignment="1" applyProtection="1">
      <alignment horizontal="center"/>
      <protection locked="0"/>
    </xf>
    <xf numFmtId="10" fontId="28" fillId="6" borderId="76" xfId="59" applyNumberFormat="1" applyFont="1" applyFill="1" applyBorder="1" applyAlignment="1" applyProtection="1">
      <alignment horizontal="center"/>
      <protection locked="0"/>
    </xf>
    <xf numFmtId="167" fontId="28" fillId="6" borderId="76" xfId="59" applyNumberFormat="1" applyFont="1" applyFill="1" applyBorder="1" applyAlignment="1" applyProtection="1">
      <alignment horizontal="center"/>
      <protection locked="0"/>
    </xf>
    <xf numFmtId="166" fontId="28" fillId="33" borderId="71" xfId="59" applyNumberFormat="1" applyFont="1" applyFill="1" applyBorder="1" applyAlignment="1" applyProtection="1">
      <alignment horizontal="center"/>
      <protection locked="0"/>
    </xf>
    <xf numFmtId="166" fontId="28" fillId="33" borderId="77" xfId="59" applyNumberFormat="1" applyFont="1" applyFill="1" applyBorder="1" applyAlignment="1" applyProtection="1">
      <alignment horizontal="center"/>
      <protection locked="0"/>
    </xf>
    <xf numFmtId="6" fontId="28" fillId="2" borderId="22" xfId="60" applyNumberFormat="1" applyFont="1" applyFill="1" applyBorder="1" applyAlignment="1" applyProtection="1">
      <alignment horizontal="center"/>
      <protection locked="0"/>
    </xf>
    <xf numFmtId="1" fontId="28" fillId="2" borderId="22" xfId="60" applyNumberFormat="1" applyFont="1" applyFill="1" applyBorder="1" applyAlignment="1" applyProtection="1">
      <alignment horizontal="center"/>
      <protection locked="0"/>
    </xf>
    <xf numFmtId="164" fontId="28" fillId="2" borderId="22" xfId="60" applyNumberFormat="1" applyFont="1" applyFill="1" applyBorder="1" applyAlignment="1" applyProtection="1">
      <alignment horizontal="center"/>
      <protection locked="0"/>
    </xf>
    <xf numFmtId="0" fontId="0" fillId="5" borderId="45" xfId="0" applyFill="1" applyBorder="1" applyAlignment="1">
      <alignment horizontal="left" wrapText="1"/>
    </xf>
    <xf numFmtId="0" fontId="0" fillId="5" borderId="46" xfId="0" applyFill="1" applyBorder="1" applyAlignment="1">
      <alignment horizontal="left" wrapText="1"/>
    </xf>
    <xf numFmtId="0" fontId="58" fillId="7" borderId="18" xfId="0" applyFont="1" applyFill="1" applyBorder="1" applyAlignment="1">
      <alignment vertical="top"/>
    </xf>
    <xf numFmtId="0" fontId="50" fillId="7" borderId="14" xfId="53" applyFill="1" applyBorder="1" applyAlignment="1">
      <alignment/>
    </xf>
    <xf numFmtId="0" fontId="50" fillId="7" borderId="18" xfId="53" applyFill="1" applyBorder="1" applyAlignment="1">
      <alignment vertical="top"/>
    </xf>
    <xf numFmtId="0" fontId="61" fillId="33" borderId="46" xfId="0" applyFont="1" applyFill="1" applyBorder="1" applyAlignment="1">
      <alignment/>
    </xf>
    <xf numFmtId="0" fontId="61" fillId="6" borderId="45" xfId="0" applyFont="1" applyFill="1" applyBorder="1" applyAlignment="1">
      <alignment/>
    </xf>
    <xf numFmtId="164" fontId="0" fillId="6" borderId="46" xfId="0" applyNumberFormat="1" applyFill="1" applyBorder="1" applyAlignment="1">
      <alignment/>
    </xf>
    <xf numFmtId="8" fontId="0" fillId="33" borderId="46" xfId="0" applyNumberFormat="1" applyFill="1" applyBorder="1" applyAlignment="1">
      <alignment/>
    </xf>
    <xf numFmtId="0" fontId="0" fillId="6" borderId="0" xfId="0" applyFill="1" applyBorder="1" applyAlignment="1">
      <alignment wrapText="1"/>
    </xf>
    <xf numFmtId="164" fontId="0" fillId="6" borderId="0" xfId="0" applyNumberFormat="1" applyFill="1" applyBorder="1" applyAlignment="1">
      <alignment/>
    </xf>
    <xf numFmtId="0" fontId="50" fillId="7" borderId="12" xfId="53" applyFill="1" applyBorder="1" applyAlignment="1">
      <alignment/>
    </xf>
    <xf numFmtId="0" fontId="0" fillId="7" borderId="14" xfId="0" applyFill="1" applyBorder="1" applyAlignment="1">
      <alignment/>
    </xf>
    <xf numFmtId="0" fontId="0" fillId="7" borderId="0" xfId="0" applyFill="1" applyBorder="1" applyAlignment="1">
      <alignment/>
    </xf>
    <xf numFmtId="0" fontId="0" fillId="7" borderId="12" xfId="0" applyFill="1" applyBorder="1" applyAlignment="1">
      <alignment/>
    </xf>
    <xf numFmtId="0" fontId="50" fillId="7" borderId="0" xfId="53" applyFill="1" applyBorder="1" applyAlignment="1">
      <alignment/>
    </xf>
    <xf numFmtId="0" fontId="30" fillId="33" borderId="46" xfId="0" applyFont="1" applyFill="1" applyBorder="1" applyAlignment="1" applyProtection="1">
      <alignment/>
      <protection/>
    </xf>
    <xf numFmtId="0" fontId="0" fillId="7" borderId="0" xfId="0" applyFont="1" applyFill="1" applyBorder="1" applyAlignment="1">
      <alignment horizontal="center"/>
    </xf>
    <xf numFmtId="0" fontId="0" fillId="7" borderId="17" xfId="0" applyFont="1" applyFill="1" applyBorder="1" applyAlignment="1">
      <alignment horizontal="center" wrapText="1"/>
    </xf>
    <xf numFmtId="0" fontId="0" fillId="7" borderId="62" xfId="0" applyFont="1" applyFill="1" applyBorder="1" applyAlignment="1">
      <alignment horizontal="center" wrapText="1"/>
    </xf>
    <xf numFmtId="0" fontId="0" fillId="7" borderId="63" xfId="0" applyFont="1" applyFill="1" applyBorder="1" applyAlignment="1">
      <alignment horizontal="center" wrapText="1"/>
    </xf>
    <xf numFmtId="0" fontId="0" fillId="7" borderId="18" xfId="0" applyFont="1" applyFill="1" applyBorder="1" applyAlignment="1">
      <alignment horizontal="left" vertical="center"/>
    </xf>
    <xf numFmtId="10" fontId="28" fillId="33" borderId="76" xfId="60" applyNumberFormat="1" applyFont="1" applyFill="1" applyBorder="1" applyAlignment="1" applyProtection="1">
      <alignment horizontal="center"/>
      <protection locked="0"/>
    </xf>
    <xf numFmtId="0" fontId="63" fillId="34" borderId="21" xfId="0" applyFont="1" applyFill="1" applyBorder="1" applyAlignment="1">
      <alignment horizontal="center"/>
    </xf>
    <xf numFmtId="9" fontId="0" fillId="0" borderId="0" xfId="0" applyNumberFormat="1" applyFont="1" applyAlignment="1">
      <alignment/>
    </xf>
    <xf numFmtId="0" fontId="50" fillId="36" borderId="0" xfId="53" applyFill="1" applyBorder="1" applyAlignment="1">
      <alignment/>
    </xf>
    <xf numFmtId="0" fontId="0" fillId="36" borderId="0" xfId="0" applyFont="1" applyFill="1" applyBorder="1" applyAlignment="1">
      <alignment/>
    </xf>
    <xf numFmtId="10" fontId="0" fillId="7" borderId="12" xfId="0" applyNumberFormat="1" applyFont="1" applyFill="1" applyBorder="1" applyAlignment="1">
      <alignment horizontal="center"/>
    </xf>
    <xf numFmtId="10" fontId="0" fillId="7" borderId="16" xfId="0" applyNumberFormat="1" applyFont="1" applyFill="1" applyBorder="1" applyAlignment="1">
      <alignment horizontal="center" vertical="center" wrapText="1"/>
    </xf>
    <xf numFmtId="10" fontId="0" fillId="7" borderId="0" xfId="0" applyNumberFormat="1" applyFont="1" applyFill="1" applyBorder="1" applyAlignment="1">
      <alignment horizontal="center"/>
    </xf>
    <xf numFmtId="10" fontId="0" fillId="7" borderId="13" xfId="0" applyNumberFormat="1" applyFont="1" applyFill="1" applyBorder="1" applyAlignment="1">
      <alignment horizontal="center"/>
    </xf>
    <xf numFmtId="10" fontId="0" fillId="7" borderId="14" xfId="0" applyNumberFormat="1" applyFont="1" applyFill="1" applyBorder="1" applyAlignment="1">
      <alignment horizontal="center"/>
    </xf>
    <xf numFmtId="10" fontId="0" fillId="7" borderId="18" xfId="0" applyNumberFormat="1" applyFont="1" applyFill="1" applyBorder="1" applyAlignment="1">
      <alignment horizontal="center" vertical="center"/>
    </xf>
    <xf numFmtId="0" fontId="0" fillId="7" borderId="12" xfId="0" applyFont="1" applyFill="1" applyBorder="1" applyAlignment="1">
      <alignment horizontal="center" vertical="center" wrapText="1"/>
    </xf>
    <xf numFmtId="0" fontId="50" fillId="35" borderId="17" xfId="53" applyFont="1" applyFill="1" applyBorder="1" applyAlignment="1">
      <alignment/>
    </xf>
    <xf numFmtId="0" fontId="0" fillId="7" borderId="14" xfId="0" applyFont="1" applyFill="1" applyBorder="1" applyAlignment="1">
      <alignment horizontal="left" indent="1"/>
    </xf>
    <xf numFmtId="0" fontId="0" fillId="7" borderId="14" xfId="0" applyFont="1" applyFill="1" applyBorder="1" applyAlignment="1">
      <alignment horizontal="left" vertical="center"/>
    </xf>
    <xf numFmtId="10" fontId="0" fillId="7" borderId="14" xfId="0" applyNumberFormat="1" applyFont="1" applyFill="1" applyBorder="1" applyAlignment="1">
      <alignment horizontal="center" vertical="center"/>
    </xf>
    <xf numFmtId="10" fontId="0" fillId="7" borderId="12" xfId="0" applyNumberFormat="1" applyFont="1" applyFill="1" applyBorder="1" applyAlignment="1">
      <alignment horizontal="center" vertical="center" wrapText="1"/>
    </xf>
    <xf numFmtId="6" fontId="0" fillId="7" borderId="24" xfId="0" applyNumberFormat="1" applyFont="1" applyFill="1" applyBorder="1" applyAlignment="1">
      <alignment horizontal="right"/>
    </xf>
    <xf numFmtId="0" fontId="0" fillId="0" borderId="17" xfId="0" applyFont="1" applyFill="1" applyBorder="1" applyAlignment="1">
      <alignment/>
    </xf>
    <xf numFmtId="0" fontId="58" fillId="35" borderId="19" xfId="0" applyFont="1" applyFill="1" applyBorder="1" applyAlignment="1">
      <alignment/>
    </xf>
    <xf numFmtId="10" fontId="0" fillId="35" borderId="21" xfId="0" applyNumberFormat="1" applyFont="1" applyFill="1" applyBorder="1" applyAlignment="1">
      <alignment horizontal="left"/>
    </xf>
    <xf numFmtId="0" fontId="0" fillId="35" borderId="15" xfId="0" applyFont="1" applyFill="1" applyBorder="1" applyAlignment="1">
      <alignment/>
    </xf>
    <xf numFmtId="0" fontId="58" fillId="7" borderId="15" xfId="0" applyFont="1" applyFill="1" applyBorder="1" applyAlignment="1">
      <alignment horizontal="center"/>
    </xf>
    <xf numFmtId="0" fontId="58" fillId="7" borderId="11" xfId="0" applyFont="1" applyFill="1" applyBorder="1" applyAlignment="1">
      <alignment horizontal="center"/>
    </xf>
    <xf numFmtId="0" fontId="58" fillId="7" borderId="14" xfId="0" applyFont="1" applyFill="1" applyBorder="1" applyAlignment="1">
      <alignment horizontal="center"/>
    </xf>
    <xf numFmtId="0" fontId="58" fillId="7" borderId="12" xfId="0" applyFont="1" applyFill="1" applyBorder="1" applyAlignment="1">
      <alignment horizontal="center"/>
    </xf>
    <xf numFmtId="0" fontId="58" fillId="7" borderId="18" xfId="0" applyFont="1" applyFill="1" applyBorder="1" applyAlignment="1">
      <alignment horizontal="center"/>
    </xf>
    <xf numFmtId="0" fontId="58" fillId="7" borderId="16" xfId="0" applyFont="1" applyFill="1" applyBorder="1" applyAlignment="1">
      <alignment horizontal="center"/>
    </xf>
    <xf numFmtId="0" fontId="58" fillId="7" borderId="17" xfId="0" applyFont="1" applyFill="1" applyBorder="1" applyAlignment="1">
      <alignment horizontal="center" wrapText="1"/>
    </xf>
    <xf numFmtId="0" fontId="58" fillId="7" borderId="11" xfId="0" applyFont="1" applyFill="1" applyBorder="1" applyAlignment="1">
      <alignment horizontal="center" wrapText="1"/>
    </xf>
    <xf numFmtId="0" fontId="58" fillId="7" borderId="17" xfId="0" applyFont="1" applyFill="1" applyBorder="1" applyAlignment="1">
      <alignment horizontal="center"/>
    </xf>
    <xf numFmtId="0" fontId="58" fillId="7" borderId="15" xfId="0" applyFont="1" applyFill="1" applyBorder="1" applyAlignment="1">
      <alignment horizontal="center" wrapText="1"/>
    </xf>
    <xf numFmtId="0" fontId="61" fillId="33" borderId="15" xfId="0" applyFont="1" applyFill="1" applyBorder="1" applyAlignment="1">
      <alignment horizontal="center"/>
    </xf>
    <xf numFmtId="0" fontId="61" fillId="33" borderId="11" xfId="0" applyFont="1" applyFill="1" applyBorder="1" applyAlignment="1">
      <alignment horizontal="center"/>
    </xf>
    <xf numFmtId="0" fontId="61" fillId="2" borderId="17" xfId="0" applyFont="1" applyFill="1" applyBorder="1" applyAlignment="1">
      <alignment horizontal="center"/>
    </xf>
    <xf numFmtId="0" fontId="61" fillId="2" borderId="11" xfId="0" applyFont="1" applyFill="1" applyBorder="1" applyAlignment="1">
      <alignment horizontal="center"/>
    </xf>
    <xf numFmtId="0" fontId="58" fillId="33" borderId="43" xfId="0" applyFont="1" applyFill="1" applyBorder="1" applyAlignment="1">
      <alignment horizontal="left"/>
    </xf>
    <xf numFmtId="0" fontId="58" fillId="33" borderId="50" xfId="0" applyFont="1" applyFill="1" applyBorder="1" applyAlignment="1">
      <alignment horizontal="left"/>
    </xf>
    <xf numFmtId="0" fontId="58" fillId="33" borderId="44" xfId="0" applyFont="1" applyFill="1" applyBorder="1" applyAlignment="1">
      <alignment horizontal="left"/>
    </xf>
    <xf numFmtId="0" fontId="0" fillId="5" borderId="15" xfId="0" applyFill="1" applyBorder="1" applyAlignment="1">
      <alignment horizontal="center" wrapText="1"/>
    </xf>
    <xf numFmtId="0" fontId="0" fillId="5" borderId="11" xfId="0" applyFill="1" applyBorder="1" applyAlignment="1">
      <alignment horizontal="center" wrapText="1"/>
    </xf>
    <xf numFmtId="0" fontId="0" fillId="5" borderId="43" xfId="0" applyFill="1" applyBorder="1" applyAlignment="1">
      <alignment horizontal="left" wrapText="1"/>
    </xf>
    <xf numFmtId="0" fontId="0" fillId="5" borderId="44" xfId="0" applyFill="1" applyBorder="1" applyAlignment="1">
      <alignment horizontal="left" wrapText="1"/>
    </xf>
    <xf numFmtId="0" fontId="0" fillId="5" borderId="45" xfId="0" applyFill="1" applyBorder="1" applyAlignment="1">
      <alignment horizontal="left" wrapText="1"/>
    </xf>
    <xf numFmtId="0" fontId="0" fillId="5" borderId="46" xfId="0" applyFill="1" applyBorder="1" applyAlignment="1">
      <alignment horizontal="left" wrapText="1"/>
    </xf>
    <xf numFmtId="0" fontId="63" fillId="34" borderId="78" xfId="0" applyFont="1" applyFill="1" applyBorder="1" applyAlignment="1">
      <alignment horizontal="center"/>
    </xf>
    <xf numFmtId="0" fontId="63" fillId="34" borderId="20" xfId="0" applyFont="1" applyFill="1" applyBorder="1" applyAlignment="1">
      <alignment horizontal="center"/>
    </xf>
    <xf numFmtId="0" fontId="63" fillId="34" borderId="7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dxfs count="5">
    <dxf>
      <font>
        <color rgb="FFFFFF00"/>
      </font>
      <fill>
        <patternFill>
          <bgColor theme="1"/>
        </patternFill>
      </fill>
    </dxf>
    <dxf>
      <font>
        <color rgb="FFFFFF00"/>
      </font>
      <fill>
        <patternFill>
          <bgColor theme="1"/>
        </patternFill>
      </fill>
    </dxf>
    <dxf>
      <font>
        <color rgb="FFFFFF00"/>
      </font>
      <fill>
        <patternFill>
          <bgColor theme="1"/>
        </patternFill>
      </fill>
    </dxf>
    <dxf>
      <font>
        <color rgb="FFFFFF00"/>
      </font>
      <fill>
        <patternFill>
          <bgColor theme="1"/>
        </patternFill>
      </fill>
    </dxf>
    <dxf>
      <font>
        <color rgb="FFFFFF00"/>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hyperlink" Target="https://www.rsmeans.com/?gclid=EAIaIQobChMIqLnGxvju5AIVTvDACh3hjwzxEAAYASAAEgIhzfD_BwE"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ttps://www.census.gov/construction/nrc/lengthoftime.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39</xdr:row>
      <xdr:rowOff>0</xdr:rowOff>
    </xdr:from>
    <xdr:to>
      <xdr:col>6</xdr:col>
      <xdr:colOff>704850</xdr:colOff>
      <xdr:row>44</xdr:row>
      <xdr:rowOff>38100</xdr:rowOff>
    </xdr:to>
    <xdr:sp>
      <xdr:nvSpPr>
        <xdr:cNvPr id="1" name="TextBox 1"/>
        <xdr:cNvSpPr txBox="1">
          <a:spLocks noChangeArrowheads="1"/>
        </xdr:cNvSpPr>
      </xdr:nvSpPr>
      <xdr:spPr>
        <a:xfrm>
          <a:off x="5762625" y="7648575"/>
          <a:ext cx="160020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Source: Average characteristics for development loans in NAHB's Survey on Acquisition, Development</a:t>
          </a:r>
          <a:r>
            <a:rPr lang="en-US" cap="none" sz="1100" b="0" i="0" u="none" baseline="0">
              <a:solidFill>
                <a:srgbClr val="000000"/>
              </a:solidFill>
              <a:latin typeface="Calibri"/>
              <a:ea typeface="Calibri"/>
              <a:cs typeface="Calibri"/>
            </a:rPr>
            <a:t> and FInancing, 2nd Quarter 2019.  Note: The most recent numbers are always available from Ashok Chaluvadi: </a:t>
          </a:r>
          <a:r>
            <a:rPr lang="en-US" cap="none" sz="1100" b="0" i="0" u="sng" baseline="0">
              <a:solidFill>
                <a:srgbClr val="000000"/>
              </a:solidFill>
              <a:latin typeface="Calibri"/>
              <a:ea typeface="Calibri"/>
              <a:cs typeface="Calibri"/>
            </a:rPr>
            <a:t>AChaluvadi@nahb.org</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9</xdr:row>
      <xdr:rowOff>38100</xdr:rowOff>
    </xdr:from>
    <xdr:to>
      <xdr:col>8</xdr:col>
      <xdr:colOff>352425</xdr:colOff>
      <xdr:row>12</xdr:row>
      <xdr:rowOff>190500</xdr:rowOff>
    </xdr:to>
    <xdr:sp>
      <xdr:nvSpPr>
        <xdr:cNvPr id="1" name="TextBox 1"/>
        <xdr:cNvSpPr txBox="1">
          <a:spLocks noChangeArrowheads="1"/>
        </xdr:cNvSpPr>
      </xdr:nvSpPr>
      <xdr:spPr>
        <a:xfrm>
          <a:off x="7419975" y="1819275"/>
          <a:ext cx="3067050"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"With Incentives" input is not required if the corresponding "No Incentives" input is entered. "With Incentives" will use that as a default unless something is actually entered in that box for "With Incentives"</a:t>
          </a:r>
          <a:r>
            <a:rPr lang="en-US" cap="none" sz="1100" b="0" i="0" u="none" baseline="0">
              <a:solidFill>
                <a:srgbClr val="000000"/>
              </a:solidFill>
              <a:latin typeface="Calibri"/>
              <a:ea typeface="Calibri"/>
              <a:cs typeface="Calibri"/>
            </a:rPr>
            <a:t> </a:t>
          </a:r>
        </a:p>
      </xdr:txBody>
    </xdr:sp>
    <xdr:clientData/>
  </xdr:twoCellAnchor>
  <xdr:twoCellAnchor>
    <xdr:from>
      <xdr:col>6</xdr:col>
      <xdr:colOff>19050</xdr:colOff>
      <xdr:row>15</xdr:row>
      <xdr:rowOff>76200</xdr:rowOff>
    </xdr:from>
    <xdr:to>
      <xdr:col>8</xdr:col>
      <xdr:colOff>333375</xdr:colOff>
      <xdr:row>18</xdr:row>
      <xdr:rowOff>152400</xdr:rowOff>
    </xdr:to>
    <xdr:sp>
      <xdr:nvSpPr>
        <xdr:cNvPr id="2" name="TextBox 2"/>
        <xdr:cNvSpPr txBox="1">
          <a:spLocks noChangeArrowheads="1"/>
        </xdr:cNvSpPr>
      </xdr:nvSpPr>
      <xdr:spPr>
        <a:xfrm>
          <a:off x="7429500" y="3038475"/>
          <a:ext cx="30384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lieu of entering a value for each specific input of the "Acquisition" box, you can input a total lump sum amount in "Other" and leave the other boxes blank</a:t>
          </a:r>
          <a:r>
            <a:rPr lang="en-US" cap="none" sz="1100" b="0" i="0" u="none" baseline="0">
              <a:solidFill>
                <a:srgbClr val="000000"/>
              </a:solidFill>
              <a:latin typeface="Calibri"/>
              <a:ea typeface="Calibri"/>
              <a:cs typeface="Calibri"/>
            </a:rPr>
            <a:t> </a:t>
          </a:r>
        </a:p>
      </xdr:txBody>
    </xdr:sp>
    <xdr:clientData/>
  </xdr:twoCellAnchor>
  <xdr:twoCellAnchor>
    <xdr:from>
      <xdr:col>6</xdr:col>
      <xdr:colOff>19050</xdr:colOff>
      <xdr:row>21</xdr:row>
      <xdr:rowOff>19050</xdr:rowOff>
    </xdr:from>
    <xdr:to>
      <xdr:col>8</xdr:col>
      <xdr:colOff>333375</xdr:colOff>
      <xdr:row>24</xdr:row>
      <xdr:rowOff>123825</xdr:rowOff>
    </xdr:to>
    <xdr:sp>
      <xdr:nvSpPr>
        <xdr:cNvPr id="3" name="TextBox 3"/>
        <xdr:cNvSpPr txBox="1">
          <a:spLocks noChangeArrowheads="1"/>
        </xdr:cNvSpPr>
      </xdr:nvSpPr>
      <xdr:spPr>
        <a:xfrm>
          <a:off x="7429500" y="4181475"/>
          <a:ext cx="303847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lieu of entering a value for each specific input of the "Development" box, you can input a total lump sum amount in "Other" and leave the other boxes blank</a:t>
          </a:r>
          <a:r>
            <a:rPr lang="en-US" cap="none" sz="1100" b="0" i="0" u="none" baseline="0">
              <a:solidFill>
                <a:srgbClr val="000000"/>
              </a:solidFill>
              <a:latin typeface="Calibri"/>
              <a:ea typeface="Calibri"/>
              <a:cs typeface="Calibri"/>
            </a:rPr>
            <a:t> </a:t>
          </a:r>
        </a:p>
      </xdr:txBody>
    </xdr:sp>
    <xdr:clientData/>
  </xdr:twoCellAnchor>
  <xdr:twoCellAnchor>
    <xdr:from>
      <xdr:col>6</xdr:col>
      <xdr:colOff>19050</xdr:colOff>
      <xdr:row>34</xdr:row>
      <xdr:rowOff>152400</xdr:rowOff>
    </xdr:from>
    <xdr:to>
      <xdr:col>8</xdr:col>
      <xdr:colOff>342900</xdr:colOff>
      <xdr:row>37</xdr:row>
      <xdr:rowOff>152400</xdr:rowOff>
    </xdr:to>
    <xdr:sp>
      <xdr:nvSpPr>
        <xdr:cNvPr id="4" name="TextBox 4"/>
        <xdr:cNvSpPr txBox="1">
          <a:spLocks noChangeArrowheads="1"/>
        </xdr:cNvSpPr>
      </xdr:nvSpPr>
      <xdr:spPr>
        <a:xfrm>
          <a:off x="7429500" y="6905625"/>
          <a:ext cx="304800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the "In-Lieu Fees" entry, if entering</a:t>
          </a:r>
          <a:r>
            <a:rPr lang="en-US" cap="none" sz="1100" b="0" i="0" u="none" baseline="0">
              <a:solidFill>
                <a:srgbClr val="000000"/>
              </a:solidFill>
              <a:latin typeface="Calibri"/>
              <a:ea typeface="Calibri"/>
              <a:cs typeface="Calibri"/>
            </a:rPr>
            <a:t> something greater than 0 in the with incentives box, you should also decrease the required affordable percentage above.</a:t>
          </a:r>
        </a:p>
      </xdr:txBody>
    </xdr:sp>
    <xdr:clientData/>
  </xdr:twoCellAnchor>
  <xdr:twoCellAnchor>
    <xdr:from>
      <xdr:col>6</xdr:col>
      <xdr:colOff>9525</xdr:colOff>
      <xdr:row>34</xdr:row>
      <xdr:rowOff>123825</xdr:rowOff>
    </xdr:from>
    <xdr:to>
      <xdr:col>8</xdr:col>
      <xdr:colOff>314325</xdr:colOff>
      <xdr:row>37</xdr:row>
      <xdr:rowOff>133350</xdr:rowOff>
    </xdr:to>
    <xdr:sp>
      <xdr:nvSpPr>
        <xdr:cNvPr id="5" name="TextBox 5"/>
        <xdr:cNvSpPr txBox="1">
          <a:spLocks noChangeArrowheads="1"/>
        </xdr:cNvSpPr>
      </xdr:nvSpPr>
      <xdr:spPr>
        <a:xfrm>
          <a:off x="7419975" y="6877050"/>
          <a:ext cx="302895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the "In-Lieu Fees" entry, if entering</a:t>
          </a:r>
          <a:r>
            <a:rPr lang="en-US" cap="none" sz="1100" b="0" i="0" u="none" baseline="0">
              <a:solidFill>
                <a:srgbClr val="000000"/>
              </a:solidFill>
              <a:latin typeface="Calibri"/>
              <a:ea typeface="Calibri"/>
              <a:cs typeface="Calibri"/>
            </a:rPr>
            <a:t> something greater than 0 in the with incentives box, you should also decrease the required affordable percentage above.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7</xdr:row>
      <xdr:rowOff>57150</xdr:rowOff>
    </xdr:from>
    <xdr:to>
      <xdr:col>14</xdr:col>
      <xdr:colOff>1181100</xdr:colOff>
      <xdr:row>12</xdr:row>
      <xdr:rowOff>0</xdr:rowOff>
    </xdr:to>
    <xdr:sp>
      <xdr:nvSpPr>
        <xdr:cNvPr id="1" name="TextBox 1"/>
        <xdr:cNvSpPr txBox="1">
          <a:spLocks noChangeArrowheads="1"/>
        </xdr:cNvSpPr>
      </xdr:nvSpPr>
      <xdr:spPr>
        <a:xfrm>
          <a:off x="12401550" y="1447800"/>
          <a:ext cx="333375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Source: Average characteristics for development loans in NAHB's Survey on Acquisition, Development</a:t>
          </a:r>
          <a:r>
            <a:rPr lang="en-US" cap="none" sz="1100" b="0" i="0" u="none" baseline="0">
              <a:solidFill>
                <a:srgbClr val="000000"/>
              </a:solidFill>
              <a:latin typeface="Calibri"/>
              <a:ea typeface="Calibri"/>
              <a:cs typeface="Calibri"/>
            </a:rPr>
            <a:t> and FInancing, 2nd Quarter 2019.  Note: The most recent numbers are always available from Ashok Chaluvadi: </a:t>
          </a:r>
          <a:r>
            <a:rPr lang="en-US" cap="none" sz="1100" b="0" i="0" u="sng" baseline="0">
              <a:solidFill>
                <a:srgbClr val="000000"/>
              </a:solidFill>
              <a:latin typeface="Calibri"/>
              <a:ea typeface="Calibri"/>
              <a:cs typeface="Calibri"/>
            </a:rPr>
            <a:t>AChaluvadi@nahb.org</a:t>
          </a:r>
          <a:r>
            <a:rPr lang="en-US" cap="none" sz="1100" b="0" i="0" u="none" baseline="0">
              <a:solidFill>
                <a:srgbClr val="000000"/>
              </a:solidFill>
              <a:latin typeface="Calibri"/>
              <a:ea typeface="Calibri"/>
              <a:cs typeface="Calibri"/>
            </a:rPr>
            <a:t> </a:t>
          </a:r>
        </a:p>
      </xdr:txBody>
    </xdr:sp>
    <xdr:clientData/>
  </xdr:twoCellAnchor>
  <xdr:twoCellAnchor>
    <xdr:from>
      <xdr:col>6</xdr:col>
      <xdr:colOff>0</xdr:colOff>
      <xdr:row>2</xdr:row>
      <xdr:rowOff>38100</xdr:rowOff>
    </xdr:from>
    <xdr:to>
      <xdr:col>8</xdr:col>
      <xdr:colOff>533400</xdr:colOff>
      <xdr:row>7</xdr:row>
      <xdr:rowOff>123825</xdr:rowOff>
    </xdr:to>
    <xdr:sp>
      <xdr:nvSpPr>
        <xdr:cNvPr id="2" name="TextBox 2"/>
        <xdr:cNvSpPr txBox="1">
          <a:spLocks noChangeArrowheads="1"/>
        </xdr:cNvSpPr>
      </xdr:nvSpPr>
      <xdr:spPr>
        <a:xfrm>
          <a:off x="5676900" y="428625"/>
          <a:ext cx="3524250"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"Debt Parameters", enter in either a full dollar amount for the loan, or enter a loan-to-cost limit that can calculate the loan amount based on A&amp;D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Your choice of which input option to use must be consistent across "No Incentives" and "With Incentives."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Whichever option you choose, delete any inputs you have in the other option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and leave the other boxes blank</a:t>
          </a:r>
          <a:r>
            <a:rPr lang="en-US" cap="none" sz="1100" b="0" i="0" u="none" baseline="0">
              <a:solidFill>
                <a:srgbClr val="000000"/>
              </a:solidFill>
              <a:latin typeface="Calibri"/>
              <a:ea typeface="Calibri"/>
              <a:cs typeface="Calibri"/>
            </a:rPr>
            <a:t> </a:t>
          </a:r>
        </a:p>
      </xdr:txBody>
    </xdr:sp>
    <xdr:clientData/>
  </xdr:twoCellAnchor>
  <xdr:twoCellAnchor>
    <xdr:from>
      <xdr:col>16</xdr:col>
      <xdr:colOff>9525</xdr:colOff>
      <xdr:row>17</xdr:row>
      <xdr:rowOff>85725</xdr:rowOff>
    </xdr:from>
    <xdr:to>
      <xdr:col>17</xdr:col>
      <xdr:colOff>685800</xdr:colOff>
      <xdr:row>27</xdr:row>
      <xdr:rowOff>38100</xdr:rowOff>
    </xdr:to>
    <xdr:sp>
      <xdr:nvSpPr>
        <xdr:cNvPr id="3" name="TextBox 3"/>
        <xdr:cNvSpPr txBox="1">
          <a:spLocks noChangeArrowheads="1"/>
        </xdr:cNvSpPr>
      </xdr:nvSpPr>
      <xdr:spPr>
        <a:xfrm>
          <a:off x="15963900" y="3467100"/>
          <a:ext cx="1571625" cy="1952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 choose to enter a loan dollar amount instead of a loan-to-cost ratio,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"Percent of Acquisition and Development Costs Financed by Loan" box will not be used. The box to the left will automatically calculate draws</a:t>
          </a:r>
          <a:r>
            <a:rPr lang="en-US" cap="none" sz="1100" b="0" i="0" u="none" baseline="0">
              <a:solidFill>
                <a:srgbClr val="000000"/>
              </a:solidFill>
              <a:latin typeface="Calibri"/>
              <a:ea typeface="Calibri"/>
              <a:cs typeface="Calibri"/>
            </a:rPr>
            <a:t> based on the suggestions in this box to ensure the correct loan amount is used. </a:t>
          </a:r>
          <a:r>
            <a:rPr lang="en-US" cap="none" sz="1100" b="0" i="0" u="none" baseline="0">
              <a:solidFill>
                <a:srgbClr val="000000"/>
              </a:solidFill>
              <a:latin typeface="Calibri"/>
              <a:ea typeface="Calibri"/>
              <a:cs typeface="Calibri"/>
            </a:rPr>
            <a:t>
</a:t>
          </a:r>
        </a:p>
      </xdr:txBody>
    </xdr:sp>
    <xdr:clientData/>
  </xdr:twoCellAnchor>
  <xdr:twoCellAnchor>
    <xdr:from>
      <xdr:col>9</xdr:col>
      <xdr:colOff>19050</xdr:colOff>
      <xdr:row>37</xdr:row>
      <xdr:rowOff>0</xdr:rowOff>
    </xdr:from>
    <xdr:to>
      <xdr:col>12</xdr:col>
      <xdr:colOff>9525</xdr:colOff>
      <xdr:row>42</xdr:row>
      <xdr:rowOff>9525</xdr:rowOff>
    </xdr:to>
    <xdr:sp>
      <xdr:nvSpPr>
        <xdr:cNvPr id="4" name="TextBox 5"/>
        <xdr:cNvSpPr txBox="1">
          <a:spLocks noChangeArrowheads="1"/>
        </xdr:cNvSpPr>
      </xdr:nvSpPr>
      <xdr:spPr>
        <a:xfrm>
          <a:off x="9610725" y="7372350"/>
          <a:ext cx="279082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To the far left, the green box will alert you if your total does not add up to 100% for total costs incurred. To the near left, the green box will alert you if the specified financing percentages lead to a loan amount that is over the loan-to-cost ratio limit</a:t>
          </a:r>
          <a:r>
            <a:rPr lang="en-US" cap="none" sz="1100" b="0" i="0" u="none" baseline="0">
              <a:solidFill>
                <a:srgbClr val="000000"/>
              </a:solidFill>
              <a:latin typeface="Calibri"/>
              <a:ea typeface="Calibri"/>
              <a:cs typeface="Calibri"/>
            </a:rPr>
            <a:t> for no</a:t>
          </a:r>
          <a:r>
            <a:rPr lang="en-US" cap="none" sz="1100" b="0" i="0" u="none" baseline="0">
              <a:solidFill>
                <a:srgbClr val="000000"/>
              </a:solidFill>
              <a:latin typeface="Calibri"/>
              <a:ea typeface="Calibri"/>
              <a:cs typeface="Calibri"/>
            </a:rPr>
            <a:t> incentives or with incentives.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4</xdr:row>
      <xdr:rowOff>28575</xdr:rowOff>
    </xdr:from>
    <xdr:to>
      <xdr:col>8</xdr:col>
      <xdr:colOff>381000</xdr:colOff>
      <xdr:row>8</xdr:row>
      <xdr:rowOff>200025</xdr:rowOff>
    </xdr:to>
    <xdr:sp>
      <xdr:nvSpPr>
        <xdr:cNvPr id="1" name="TextBox 1"/>
        <xdr:cNvSpPr txBox="1">
          <a:spLocks noChangeArrowheads="1"/>
        </xdr:cNvSpPr>
      </xdr:nvSpPr>
      <xdr:spPr>
        <a:xfrm>
          <a:off x="5534025" y="809625"/>
          <a:ext cx="30670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lieu of entering a value for each specific input of the "Annual Holding Costs" box, you can input a total lump sum amount in "Other" and leave the other boxes blank</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66675</xdr:rowOff>
    </xdr:from>
    <xdr:to>
      <xdr:col>8</xdr:col>
      <xdr:colOff>104775</xdr:colOff>
      <xdr:row>5</xdr:row>
      <xdr:rowOff>142875</xdr:rowOff>
    </xdr:to>
    <xdr:sp>
      <xdr:nvSpPr>
        <xdr:cNvPr id="1" name="TextBox 1"/>
        <xdr:cNvSpPr txBox="1">
          <a:spLocks noChangeArrowheads="1"/>
        </xdr:cNvSpPr>
      </xdr:nvSpPr>
      <xdr:spPr>
        <a:xfrm>
          <a:off x="5819775" y="457200"/>
          <a:ext cx="303847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lot</a:t>
          </a:r>
          <a:r>
            <a:rPr lang="en-US" cap="none" sz="1100" b="0" i="0" u="none" baseline="0">
              <a:solidFill>
                <a:srgbClr val="000000"/>
              </a:solidFill>
              <a:latin typeface="Calibri"/>
              <a:ea typeface="Calibri"/>
              <a:cs typeface="Calibri"/>
            </a:rPr>
            <a:t> price is automatically calculated based on the construciton inputs to ensure the construction profit margin is met.
</a:t>
          </a:r>
        </a:p>
      </xdr:txBody>
    </xdr:sp>
    <xdr:clientData/>
  </xdr:twoCellAnchor>
  <xdr:twoCellAnchor>
    <xdr:from>
      <xdr:col>8</xdr:col>
      <xdr:colOff>676275</xdr:colOff>
      <xdr:row>11</xdr:row>
      <xdr:rowOff>76200</xdr:rowOff>
    </xdr:from>
    <xdr:to>
      <xdr:col>11</xdr:col>
      <xdr:colOff>733425</xdr:colOff>
      <xdr:row>16</xdr:row>
      <xdr:rowOff>19050</xdr:rowOff>
    </xdr:to>
    <xdr:sp>
      <xdr:nvSpPr>
        <xdr:cNvPr id="2" name="TextBox 2"/>
        <xdr:cNvSpPr txBox="1">
          <a:spLocks noChangeArrowheads="1"/>
        </xdr:cNvSpPr>
      </xdr:nvSpPr>
      <xdr:spPr>
        <a:xfrm>
          <a:off x="9429750" y="2200275"/>
          <a:ext cx="301942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Each column of lot type for</a:t>
          </a:r>
          <a:r>
            <a:rPr lang="en-US" cap="none" sz="1100" b="0" i="0" u="none" baseline="0">
              <a:solidFill>
                <a:srgbClr val="000000"/>
              </a:solidFill>
              <a:latin typeface="Calibri"/>
              <a:ea typeface="Calibri"/>
              <a:cs typeface="Calibri"/>
            </a:rPr>
            <a:t> no incentives and w</a:t>
          </a:r>
          <a:r>
            <a:rPr lang="en-US" cap="none" sz="1100" b="0" i="0" u="none" baseline="0">
              <a:solidFill>
                <a:srgbClr val="000000"/>
              </a:solidFill>
              <a:latin typeface="Calibri"/>
              <a:ea typeface="Calibri"/>
              <a:cs typeface="Calibri"/>
            </a:rPr>
            <a:t>ith Incentives should add up to 100%. The "Lots Fully Sold?" box will alert you if they aren't fully accounted for, or over accounted for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47625</xdr:rowOff>
    </xdr:from>
    <xdr:to>
      <xdr:col>12</xdr:col>
      <xdr:colOff>3305175</xdr:colOff>
      <xdr:row>28</xdr:row>
      <xdr:rowOff>180975</xdr:rowOff>
    </xdr:to>
    <xdr:sp>
      <xdr:nvSpPr>
        <xdr:cNvPr id="1" name="TextBox 1">
          <a:hlinkClick r:id="rId1"/>
        </xdr:cNvPr>
        <xdr:cNvSpPr txBox="1">
          <a:spLocks noChangeArrowheads="1"/>
        </xdr:cNvSpPr>
      </xdr:nvSpPr>
      <xdr:spPr>
        <a:xfrm>
          <a:off x="10839450" y="4019550"/>
          <a:ext cx="3933825" cy="1924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RS Means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2019 Residential Costs.  Note: there are signficant economies of scale in residential construction.  Costs per square foot vary with the size of the home; the ones shown for reference should not be applied to a home drastically different from 2,000 sq ft in size.  Costs also vary over time, by location, and by quality and number of amenities.   RSMeans publications include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ways to accomodate these factors and may be consulted if adjustments are needed.  
</a:t>
          </a:r>
        </a:p>
      </xdr:txBody>
    </xdr:sp>
    <xdr:clientData/>
  </xdr:twoCellAnchor>
  <xdr:twoCellAnchor>
    <xdr:from>
      <xdr:col>8</xdr:col>
      <xdr:colOff>57150</xdr:colOff>
      <xdr:row>35</xdr:row>
      <xdr:rowOff>161925</xdr:rowOff>
    </xdr:from>
    <xdr:to>
      <xdr:col>10</xdr:col>
      <xdr:colOff>390525</xdr:colOff>
      <xdr:row>40</xdr:row>
      <xdr:rowOff>171450</xdr:rowOff>
    </xdr:to>
    <xdr:sp>
      <xdr:nvSpPr>
        <xdr:cNvPr id="2" name="TextBox 2"/>
        <xdr:cNvSpPr txBox="1">
          <a:spLocks noChangeArrowheads="1"/>
        </xdr:cNvSpPr>
      </xdr:nvSpPr>
      <xdr:spPr>
        <a:xfrm>
          <a:off x="8943975" y="7315200"/>
          <a:ext cx="181927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Again, you may make an entry in either column if you want to use different methods for different types of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You can forego entering each specific input in favor of a lump sum for "Other."</a:t>
          </a:r>
        </a:p>
      </xdr:txBody>
    </xdr:sp>
    <xdr:clientData/>
  </xdr:twoCellAnchor>
  <xdr:twoCellAnchor>
    <xdr:from>
      <xdr:col>8</xdr:col>
      <xdr:colOff>133350</xdr:colOff>
      <xdr:row>9</xdr:row>
      <xdr:rowOff>95250</xdr:rowOff>
    </xdr:from>
    <xdr:to>
      <xdr:col>10</xdr:col>
      <xdr:colOff>295275</xdr:colOff>
      <xdr:row>31</xdr:row>
      <xdr:rowOff>9525</xdr:rowOff>
    </xdr:to>
    <xdr:sp>
      <xdr:nvSpPr>
        <xdr:cNvPr id="3" name="TextBox 3"/>
        <xdr:cNvSpPr txBox="1">
          <a:spLocks noChangeArrowheads="1"/>
        </xdr:cNvSpPr>
      </xdr:nvSpPr>
      <xdr:spPr>
        <a:xfrm>
          <a:off x="9020175" y="1876425"/>
          <a:ext cx="1647825" cy="449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You may</a:t>
          </a:r>
          <a:r>
            <a:rPr lang="en-US" cap="none" sz="1100" b="0" i="0" u="none" baseline="0">
              <a:solidFill>
                <a:srgbClr val="000000"/>
              </a:solidFill>
              <a:latin typeface="Calibri"/>
              <a:ea typeface="Calibri"/>
              <a:cs typeface="Calibri"/>
            </a:rPr>
            <a:t> make entries in either "Cost of PSF of Living Area" or "Cost Per Home". For example, for the market-rate home with no incentives, you may want to put $1.33 for "Site Work" under "Cost PSF..." but may want to put the lump sum of $20,000 for "Foundation" under "Cost Per Home", and so on. The formulas will still calculate correctly. Avoid putting an entry in "Cost PSF..." and "Cost Per Home" for the same type of cost (such as making an entry in each column for "Framing") if you don't want to double count your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market-rate home with incentives is the exact same as without incentives.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You may forego specific inputs and</a:t>
          </a:r>
          <a:r>
            <a:rPr lang="en-US" cap="none" sz="1100" b="0" i="0" u="none" baseline="0">
              <a:solidFill>
                <a:srgbClr val="000000"/>
              </a:solidFill>
              <a:latin typeface="Calibri"/>
              <a:ea typeface="Calibri"/>
              <a:cs typeface="Calibri"/>
            </a:rPr>
            <a:t> instead put</a:t>
          </a:r>
          <a:r>
            <a:rPr lang="en-US" cap="none" sz="1100" b="0" i="0" u="none" baseline="0">
              <a:solidFill>
                <a:srgbClr val="000000"/>
              </a:solidFill>
              <a:latin typeface="Calibri"/>
              <a:ea typeface="Calibri"/>
              <a:cs typeface="Calibri"/>
            </a:rPr>
            <a:t> entire cost in "Other."</a:t>
          </a:r>
          <a:r>
            <a:rPr lang="en-US" cap="none" sz="1100" b="0" i="0" u="none" baseline="0">
              <a:solidFill>
                <a:srgbClr val="000000"/>
              </a:solidFill>
              <a:latin typeface="Calibri"/>
              <a:ea typeface="Calibri"/>
              <a:cs typeface="Calibri"/>
            </a:rPr>
            <a:t> </a:t>
          </a:r>
        </a:p>
      </xdr:txBody>
    </xdr:sp>
    <xdr:clientData/>
  </xdr:twoCellAnchor>
  <xdr:twoCellAnchor>
    <xdr:from>
      <xdr:col>5</xdr:col>
      <xdr:colOff>190500</xdr:colOff>
      <xdr:row>2</xdr:row>
      <xdr:rowOff>0</xdr:rowOff>
    </xdr:from>
    <xdr:to>
      <xdr:col>11</xdr:col>
      <xdr:colOff>514350</xdr:colOff>
      <xdr:row>7</xdr:row>
      <xdr:rowOff>0</xdr:rowOff>
    </xdr:to>
    <xdr:sp>
      <xdr:nvSpPr>
        <xdr:cNvPr id="4" name="TextBox 4"/>
        <xdr:cNvSpPr txBox="1">
          <a:spLocks noChangeArrowheads="1"/>
        </xdr:cNvSpPr>
      </xdr:nvSpPr>
      <xdr:spPr>
        <a:xfrm>
          <a:off x="6800850" y="390525"/>
          <a:ext cx="455295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You only need to enter the size of home in sq. ft. if you are using the cost per sq. ft. method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market-size home with incentives will be the same size as without incentives, so there is no entry there.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28575</xdr:rowOff>
    </xdr:from>
    <xdr:to>
      <xdr:col>11</xdr:col>
      <xdr:colOff>66675</xdr:colOff>
      <xdr:row>8</xdr:row>
      <xdr:rowOff>133350</xdr:rowOff>
    </xdr:to>
    <xdr:sp>
      <xdr:nvSpPr>
        <xdr:cNvPr id="1" name="TextBox 1"/>
        <xdr:cNvSpPr txBox="1">
          <a:spLocks noChangeArrowheads="1"/>
        </xdr:cNvSpPr>
      </xdr:nvSpPr>
      <xdr:spPr>
        <a:xfrm>
          <a:off x="9429750" y="609600"/>
          <a:ext cx="2466975"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Source: Average characteristics for speculative sinlge-family constrcuction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loans in NAHB's Survey on Acquisition, Development</a:t>
          </a:r>
          <a:r>
            <a:rPr lang="en-US" cap="none" sz="1100" b="0" i="0" u="none" baseline="0">
              <a:solidFill>
                <a:srgbClr val="000000"/>
              </a:solidFill>
              <a:latin typeface="Calibri"/>
              <a:ea typeface="Calibri"/>
              <a:cs typeface="Calibri"/>
            </a:rPr>
            <a:t> and FInancing, 2nd Quarter 2019.  Note: The most recent numbers are always available from Ashok Chaluvadi: </a:t>
          </a:r>
          <a:r>
            <a:rPr lang="en-US" cap="none" sz="1100" b="0" i="0" u="sng" baseline="0">
              <a:solidFill>
                <a:srgbClr val="000000"/>
              </a:solidFill>
              <a:latin typeface="Calibri"/>
              <a:ea typeface="Calibri"/>
              <a:cs typeface="Calibri"/>
            </a:rPr>
            <a:t>AChaluvadi@nahb.org</a:t>
          </a:r>
          <a:r>
            <a:rPr lang="en-US" cap="none" sz="1100" b="0" i="0" u="none" baseline="0">
              <a:solidFill>
                <a:srgbClr val="000000"/>
              </a:solidFill>
              <a:latin typeface="Calibri"/>
              <a:ea typeface="Calibri"/>
              <a:cs typeface="Calibri"/>
            </a:rPr>
            <a:t> </a:t>
          </a:r>
        </a:p>
      </xdr:txBody>
    </xdr:sp>
    <xdr:clientData/>
  </xdr:twoCellAnchor>
  <xdr:twoCellAnchor>
    <xdr:from>
      <xdr:col>9</xdr:col>
      <xdr:colOff>190500</xdr:colOff>
      <xdr:row>24</xdr:row>
      <xdr:rowOff>161925</xdr:rowOff>
    </xdr:from>
    <xdr:to>
      <xdr:col>10</xdr:col>
      <xdr:colOff>914400</xdr:colOff>
      <xdr:row>35</xdr:row>
      <xdr:rowOff>0</xdr:rowOff>
    </xdr:to>
    <xdr:sp>
      <xdr:nvSpPr>
        <xdr:cNvPr id="2" name="TextBox 2">
          <a:hlinkClick r:id="rId1"/>
        </xdr:cNvPr>
        <xdr:cNvSpPr txBox="1">
          <a:spLocks noChangeArrowheads="1"/>
        </xdr:cNvSpPr>
      </xdr:nvSpPr>
      <xdr:spPr>
        <a:xfrm>
          <a:off x="9963150" y="4914900"/>
          <a:ext cx="1752600" cy="2038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The suggested schedule</a:t>
          </a:r>
          <a:r>
            <a:rPr lang="en-US" cap="none" sz="1100" b="0" i="0" u="none" baseline="0">
              <a:solidFill>
                <a:srgbClr val="000000"/>
              </a:solidFill>
              <a:latin typeface="Calibri"/>
              <a:ea typeface="Calibri"/>
              <a:cs typeface="Calibri"/>
            </a:rPr>
            <a:t> of costs is based on the the length of time from permit to start, and start to competion published on the </a:t>
          </a:r>
          <a:r>
            <a:rPr lang="en-US" cap="none" sz="1100" b="0" i="0" u="sng" baseline="0">
              <a:solidFill>
                <a:srgbClr val="000000"/>
              </a:solidFill>
              <a:latin typeface="Calibri"/>
              <a:ea typeface="Calibri"/>
              <a:cs typeface="Calibri"/>
            </a:rPr>
            <a:t>Census web 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assuming that the cost of the lot is incurred at the very</a:t>
          </a:r>
          <a:r>
            <a:rPr lang="en-US" cap="none" sz="1100" b="0" i="0" u="none" baseline="0">
              <a:solidFill>
                <a:srgbClr val="000000"/>
              </a:solidFill>
              <a:latin typeface="Calibri"/>
              <a:ea typeface="Calibri"/>
              <a:cs typeface="Calibri"/>
            </a:rPr>
            <a:t> beginning of the process, and that the rest of the costs are incurred evenly thorughout the period from start to completion.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19</xdr:row>
      <xdr:rowOff>114300</xdr:rowOff>
    </xdr:from>
    <xdr:to>
      <xdr:col>7</xdr:col>
      <xdr:colOff>342900</xdr:colOff>
      <xdr:row>32</xdr:row>
      <xdr:rowOff>38100</xdr:rowOff>
    </xdr:to>
    <xdr:sp>
      <xdr:nvSpPr>
        <xdr:cNvPr id="1" name="TextBox 1"/>
        <xdr:cNvSpPr txBox="1">
          <a:spLocks noChangeArrowheads="1"/>
        </xdr:cNvSpPr>
      </xdr:nvSpPr>
      <xdr:spPr>
        <a:xfrm>
          <a:off x="7915275" y="3867150"/>
          <a:ext cx="2552700" cy="2419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You can specify an annual dollar reduction in property tax payments for the market-rate  units only. If specified, the discount rate above is used to capitalize the decrease to the house price on an infinite time horizon. In other words, the house price will increase to account for the entire amount of decreased property taxes through the future. If specified, the market unit sales price will increase by the annual reduction divided by the  discount rate. The 11.5% discount rate is the average rate households are paying on consumer debt, </a:t>
          </a:r>
          <a:r>
            <a:rPr lang="en-US" cap="none" sz="1100" b="0" i="0" u="none" baseline="0">
              <a:solidFill>
                <a:srgbClr val="000000"/>
              </a:solidFill>
              <a:latin typeface="Calibri"/>
              <a:ea typeface="Calibri"/>
              <a:cs typeface="Calibri"/>
            </a:rPr>
            <a:t>reflecting the value of something they could sacrifice at the margin to invest in something else.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nahbclassic.org/generic.aspx?sectionID=734&amp;genericContentID=260013&amp;channelID=311" TargetMode="External" /><Relationship Id="rId2" Type="http://schemas.openxmlformats.org/officeDocument/2006/relationships/hyperlink" Target="https://www.nahbclassic.org/generic.aspx?sectionID=734&amp;genericContentID=260013&amp;channelID=311" TargetMode="External" /><Relationship Id="rId3" Type="http://schemas.openxmlformats.org/officeDocument/2006/relationships/hyperlink" Target="https://financial-projections.com/resources/free-business-research/free-industry-statistics/free-industry-statistics-2/" TargetMode="External" /><Relationship Id="rId4"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zillow.com/sellers-guide/average-time-to-sell-a-house/" TargetMode="External" /><Relationship Id="rId2" Type="http://schemas.openxmlformats.org/officeDocument/2006/relationships/hyperlink" Target="https://www.nahbclassic.org/generic.aspx?sectionID=734&amp;genericContentID=208997&amp;channelID=311" TargetMode="External" /><Relationship Id="rId3"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www.nahbclassic.org/generic.aspx?sectionID=734&amp;genericContentID=208997&amp;channelID=311"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L48"/>
  <sheetViews>
    <sheetView tabSelected="1" zoomScale="90" zoomScaleNormal="90" zoomScalePageLayoutView="0" workbookViewId="0" topLeftCell="A1">
      <selection activeCell="J23" sqref="J23"/>
    </sheetView>
  </sheetViews>
  <sheetFormatPr defaultColWidth="11.421875" defaultRowHeight="15"/>
  <cols>
    <col min="1" max="1" width="11.421875" style="0" customWidth="1"/>
    <col min="2" max="2" width="35.140625" style="0" customWidth="1"/>
    <col min="3" max="3" width="15.00390625" style="0" bestFit="1" customWidth="1"/>
    <col min="4" max="4" width="11.421875" style="0" customWidth="1"/>
    <col min="5" max="7" width="13.421875" style="0" customWidth="1"/>
    <col min="8" max="8" width="12.8515625" style="0" customWidth="1"/>
    <col min="9" max="9" width="15.140625" style="0" customWidth="1"/>
    <col min="10" max="10" width="35.421875" style="0" customWidth="1"/>
    <col min="11" max="11" width="26.8515625" style="0" customWidth="1"/>
    <col min="12" max="12" width="24.00390625" style="0" customWidth="1"/>
  </cols>
  <sheetData>
    <row r="1" ht="25.5" customHeight="1" thickBot="1"/>
    <row r="2" spans="2:12" ht="4.5" customHeight="1">
      <c r="B2" s="379"/>
      <c r="C2" s="380"/>
      <c r="D2" s="380"/>
      <c r="E2" s="380"/>
      <c r="F2" s="380"/>
      <c r="G2" s="380"/>
      <c r="H2" s="380"/>
      <c r="I2" s="380"/>
      <c r="J2" s="380"/>
      <c r="K2" s="380"/>
      <c r="L2" s="381"/>
    </row>
    <row r="3" spans="2:12" ht="15">
      <c r="B3" s="478" t="s">
        <v>269</v>
      </c>
      <c r="C3" s="479"/>
      <c r="D3" s="479"/>
      <c r="E3" s="479"/>
      <c r="F3" s="479"/>
      <c r="G3" s="479"/>
      <c r="H3" s="479"/>
      <c r="I3" s="481" t="s">
        <v>270</v>
      </c>
      <c r="J3" s="479"/>
      <c r="K3" s="479"/>
      <c r="L3" s="480"/>
    </row>
    <row r="4" spans="2:12" ht="15">
      <c r="B4" s="378" t="s">
        <v>227</v>
      </c>
      <c r="C4" s="382"/>
      <c r="D4" s="382"/>
      <c r="E4" s="382"/>
      <c r="F4" s="382"/>
      <c r="G4" s="382"/>
      <c r="H4" s="382"/>
      <c r="I4" s="382"/>
      <c r="J4" s="382"/>
      <c r="K4" s="382"/>
      <c r="L4" s="383"/>
    </row>
    <row r="5" spans="2:12" ht="15">
      <c r="B5" s="378" t="s">
        <v>228</v>
      </c>
      <c r="C5" s="382"/>
      <c r="D5" s="382"/>
      <c r="E5" s="382"/>
      <c r="F5" s="382"/>
      <c r="G5" s="382"/>
      <c r="H5" s="382"/>
      <c r="I5" s="382"/>
      <c r="J5" s="382"/>
      <c r="K5" s="382"/>
      <c r="L5" s="383"/>
    </row>
    <row r="6" spans="2:12" ht="15">
      <c r="B6" s="378" t="s">
        <v>264</v>
      </c>
      <c r="C6" s="382"/>
      <c r="D6" s="382"/>
      <c r="E6" s="382"/>
      <c r="F6" s="382"/>
      <c r="G6" s="382"/>
      <c r="H6" s="382"/>
      <c r="I6" s="382"/>
      <c r="J6" s="382"/>
      <c r="K6" s="382"/>
      <c r="L6" s="383"/>
    </row>
    <row r="7" spans="2:12" ht="9" customHeight="1" thickBot="1">
      <c r="B7" s="310"/>
      <c r="C7" s="384"/>
      <c r="D7" s="384"/>
      <c r="E7" s="384"/>
      <c r="F7" s="384"/>
      <c r="G7" s="384"/>
      <c r="H7" s="384"/>
      <c r="I7" s="384"/>
      <c r="J7" s="384"/>
      <c r="K7" s="384"/>
      <c r="L7" s="385"/>
    </row>
    <row r="8" ht="15.75" thickBot="1"/>
    <row r="9" spans="2:12" ht="21" customHeight="1">
      <c r="B9" s="40" t="s">
        <v>199</v>
      </c>
      <c r="C9" s="386"/>
      <c r="D9" s="386"/>
      <c r="E9" s="386"/>
      <c r="F9" s="386"/>
      <c r="G9" s="386"/>
      <c r="H9" s="386"/>
      <c r="I9" s="380"/>
      <c r="J9" s="380"/>
      <c r="K9" s="380"/>
      <c r="L9" s="381"/>
    </row>
    <row r="10" spans="2:12" ht="15">
      <c r="B10" s="378" t="s">
        <v>202</v>
      </c>
      <c r="C10" s="382"/>
      <c r="D10" s="382"/>
      <c r="E10" s="382"/>
      <c r="F10" s="382"/>
      <c r="G10" s="382"/>
      <c r="H10" s="382"/>
      <c r="I10" s="382"/>
      <c r="J10" s="382"/>
      <c r="K10" s="382"/>
      <c r="L10" s="383"/>
    </row>
    <row r="11" spans="2:12" ht="15">
      <c r="B11" s="378" t="s">
        <v>204</v>
      </c>
      <c r="C11" s="382"/>
      <c r="D11" s="382"/>
      <c r="E11" s="382"/>
      <c r="F11" s="382"/>
      <c r="G11" s="382"/>
      <c r="H11" s="382"/>
      <c r="I11" s="382"/>
      <c r="J11" s="382"/>
      <c r="K11" s="382"/>
      <c r="L11" s="383"/>
    </row>
    <row r="12" spans="2:12" ht="15">
      <c r="B12" s="378" t="s">
        <v>201</v>
      </c>
      <c r="C12" s="382"/>
      <c r="D12" s="382"/>
      <c r="E12" s="382"/>
      <c r="F12" s="382"/>
      <c r="G12" s="382"/>
      <c r="H12" s="382"/>
      <c r="I12" s="382"/>
      <c r="J12" s="382"/>
      <c r="K12" s="382"/>
      <c r="L12" s="383"/>
    </row>
    <row r="13" spans="2:12" ht="15">
      <c r="B13" s="378" t="s">
        <v>200</v>
      </c>
      <c r="C13" s="382"/>
      <c r="D13" s="382"/>
      <c r="E13" s="382"/>
      <c r="F13" s="382"/>
      <c r="G13" s="382"/>
      <c r="H13" s="382"/>
      <c r="I13" s="382"/>
      <c r="J13" s="382"/>
      <c r="K13" s="382"/>
      <c r="L13" s="383"/>
    </row>
    <row r="14" spans="2:12" ht="15">
      <c r="B14" s="378" t="s">
        <v>203</v>
      </c>
      <c r="C14" s="382"/>
      <c r="D14" s="382"/>
      <c r="E14" s="382"/>
      <c r="F14" s="382"/>
      <c r="G14" s="382"/>
      <c r="H14" s="382"/>
      <c r="I14" s="382"/>
      <c r="J14" s="382"/>
      <c r="K14" s="382"/>
      <c r="L14" s="383"/>
    </row>
    <row r="15" spans="2:12" ht="15">
      <c r="B15" s="378" t="s">
        <v>259</v>
      </c>
      <c r="C15" s="382"/>
      <c r="D15" s="382"/>
      <c r="E15" s="382"/>
      <c r="F15" s="382"/>
      <c r="G15" s="382"/>
      <c r="H15" s="382"/>
      <c r="I15" s="382"/>
      <c r="J15" s="382"/>
      <c r="K15" s="382"/>
      <c r="L15" s="383"/>
    </row>
    <row r="16" spans="2:12" ht="24.75" customHeight="1" thickBot="1">
      <c r="B16" s="468" t="s">
        <v>263</v>
      </c>
      <c r="C16" s="384"/>
      <c r="D16" s="384"/>
      <c r="E16" s="384"/>
      <c r="F16" s="384"/>
      <c r="G16" s="384"/>
      <c r="H16" s="384"/>
      <c r="I16" s="384"/>
      <c r="J16" s="384"/>
      <c r="K16" s="384"/>
      <c r="L16" s="385"/>
    </row>
    <row r="17" ht="15.75" thickBot="1"/>
    <row r="18" spans="2:3" ht="19.5" customHeight="1">
      <c r="B18" s="40" t="s">
        <v>268</v>
      </c>
      <c r="C18" s="381"/>
    </row>
    <row r="19" spans="2:3" ht="21.75" customHeight="1">
      <c r="B19" s="75" t="s">
        <v>265</v>
      </c>
      <c r="C19" s="24" t="s">
        <v>266</v>
      </c>
    </row>
    <row r="20" spans="2:3" ht="15">
      <c r="B20" s="469" t="s">
        <v>217</v>
      </c>
      <c r="C20" s="477" t="s">
        <v>140</v>
      </c>
    </row>
    <row r="21" spans="2:3" ht="15">
      <c r="B21" s="469" t="s">
        <v>218</v>
      </c>
      <c r="C21" s="477" t="s">
        <v>222</v>
      </c>
    </row>
    <row r="22" spans="2:3" ht="15">
      <c r="B22" s="469" t="s">
        <v>219</v>
      </c>
      <c r="C22" s="477" t="s">
        <v>224</v>
      </c>
    </row>
    <row r="23" spans="2:3" ht="15">
      <c r="B23" s="469" t="s">
        <v>220</v>
      </c>
      <c r="C23" s="477" t="s">
        <v>223</v>
      </c>
    </row>
    <row r="24" spans="2:3" s="425" customFormat="1" ht="21" customHeight="1" thickBot="1">
      <c r="B24" s="470" t="s">
        <v>221</v>
      </c>
      <c r="C24" s="424"/>
    </row>
    <row r="27" ht="15">
      <c r="F27" t="s">
        <v>226</v>
      </c>
    </row>
    <row r="28" spans="2:6" ht="15">
      <c r="B28" t="s">
        <v>215</v>
      </c>
      <c r="F28" t="s">
        <v>225</v>
      </c>
    </row>
    <row r="29" ht="7.5" customHeight="1" thickBot="1"/>
    <row r="30" spans="2:9" ht="15.75" thickBot="1">
      <c r="B30" s="41" t="s">
        <v>3</v>
      </c>
      <c r="C30" s="42"/>
      <c r="D30" s="43"/>
      <c r="F30" s="14" t="s">
        <v>21</v>
      </c>
      <c r="G30" s="20" t="s">
        <v>4</v>
      </c>
      <c r="H30" s="21" t="s">
        <v>0</v>
      </c>
      <c r="I30" s="4"/>
    </row>
    <row r="31" spans="2:9" ht="15.75" thickBot="1">
      <c r="B31" s="341"/>
      <c r="C31" s="342" t="s">
        <v>4</v>
      </c>
      <c r="D31" s="274" t="s">
        <v>0</v>
      </c>
      <c r="F31" s="11"/>
      <c r="G31" s="3"/>
      <c r="H31" s="15"/>
      <c r="I31" s="5"/>
    </row>
    <row r="32" spans="2:9" ht="15.75" thickBot="1">
      <c r="B32" s="38" t="s">
        <v>5</v>
      </c>
      <c r="C32" s="154">
        <v>40</v>
      </c>
      <c r="D32" s="155">
        <v>48</v>
      </c>
      <c r="F32" s="82" t="s">
        <v>18</v>
      </c>
      <c r="G32" s="151">
        <v>50</v>
      </c>
      <c r="H32" s="57">
        <v>60</v>
      </c>
      <c r="I32" s="49">
        <v>60</v>
      </c>
    </row>
    <row r="33" spans="2:9" ht="15.75" thickBot="1">
      <c r="B33" s="38" t="s">
        <v>6</v>
      </c>
      <c r="C33" s="154">
        <v>10</v>
      </c>
      <c r="D33" s="156">
        <v>12</v>
      </c>
      <c r="F33" s="82" t="s">
        <v>29</v>
      </c>
      <c r="G33" s="119">
        <v>0.2</v>
      </c>
      <c r="H33" s="58"/>
      <c r="I33" s="50">
        <v>0.2</v>
      </c>
    </row>
    <row r="34" spans="2:9" ht="15.75" thickBot="1">
      <c r="B34" s="296" t="s">
        <v>7</v>
      </c>
      <c r="C34" s="297">
        <v>50</v>
      </c>
      <c r="D34" s="298">
        <v>60</v>
      </c>
      <c r="F34" s="107"/>
      <c r="G34" s="108"/>
      <c r="H34" s="6"/>
      <c r="I34" s="51"/>
    </row>
    <row r="38" spans="2:6" ht="15">
      <c r="B38" t="s">
        <v>214</v>
      </c>
      <c r="F38" t="s">
        <v>216</v>
      </c>
    </row>
    <row r="39" ht="7.5" customHeight="1" thickBot="1"/>
    <row r="40" spans="2:4" ht="15">
      <c r="B40" s="204" t="s">
        <v>82</v>
      </c>
      <c r="C40" s="205"/>
      <c r="D40" s="206"/>
    </row>
    <row r="41" spans="2:4" ht="15">
      <c r="B41" s="207"/>
      <c r="C41" s="208"/>
      <c r="D41" s="209"/>
    </row>
    <row r="42" spans="2:4" ht="15">
      <c r="B42" s="210"/>
      <c r="C42" s="211"/>
      <c r="D42" s="212"/>
    </row>
    <row r="43" spans="2:4" ht="15">
      <c r="B43" s="207" t="s">
        <v>187</v>
      </c>
      <c r="C43" s="208"/>
      <c r="D43" s="213">
        <v>0.7683</v>
      </c>
    </row>
    <row r="44" spans="2:4" ht="15">
      <c r="B44" s="207"/>
      <c r="C44" s="208"/>
      <c r="D44" s="213"/>
    </row>
    <row r="45" spans="2:4" ht="15">
      <c r="B45" s="207" t="s">
        <v>11</v>
      </c>
      <c r="C45" s="208"/>
      <c r="D45" s="213">
        <v>0.0649</v>
      </c>
    </row>
    <row r="46" spans="2:4" ht="15">
      <c r="B46" s="207"/>
      <c r="C46" s="208"/>
      <c r="D46" s="213"/>
    </row>
    <row r="47" spans="2:4" ht="15">
      <c r="B47" s="207" t="s">
        <v>91</v>
      </c>
      <c r="C47" s="208"/>
      <c r="D47" s="213">
        <v>0.0103</v>
      </c>
    </row>
    <row r="48" spans="2:4" ht="15.75" thickBot="1">
      <c r="B48" s="214"/>
      <c r="C48" s="215"/>
      <c r="D48" s="216"/>
    </row>
  </sheetData>
  <sheetProtection password="CFB3" sheet="1" objects="1" scenarios="1"/>
  <hyperlinks>
    <hyperlink ref="B20" location="'A&amp;D Costs'!C5" display="A&amp;D Costs"/>
    <hyperlink ref="B21" location="'A&amp;D Financing'!C5" display="A&amp;D Financing"/>
    <hyperlink ref="B22" location="'A&amp;D Op Exp'!C5" display="A&amp;D Op Exp"/>
    <hyperlink ref="B23" location="'A&amp;D Returns'!C5" display="A&amp;D Returns"/>
    <hyperlink ref="B24" location="'Lot Sales'!C13" display="Lot Sales"/>
    <hyperlink ref="C20" location="'Construction Costs'!C5" display="Construction Costs"/>
    <hyperlink ref="C21" location="'Con Financing'!C5" display="Con Financing"/>
    <hyperlink ref="C22" location="'Con Op Exp'!C5" display="Con Op Exp"/>
    <hyperlink ref="C23" location="'Con Sales'!C5" display="Con Sales"/>
    <hyperlink ref="I3" location="Dashboard!A1" display="on the dashboard."/>
  </hyperlinks>
  <printOptions/>
  <pageMargins left="0.75" right="0.75" top="1" bottom="1"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tabColor theme="9" tint="0.7999799847602844"/>
  </sheetPr>
  <dimension ref="B3:X35"/>
  <sheetViews>
    <sheetView zoomScale="90" zoomScaleNormal="90" zoomScalePageLayoutView="0" workbookViewId="0" topLeftCell="G6">
      <selection activeCell="C21" sqref="C21"/>
    </sheetView>
  </sheetViews>
  <sheetFormatPr defaultColWidth="10.28125" defaultRowHeight="15"/>
  <cols>
    <col min="1" max="1" width="7.28125" style="76" customWidth="1"/>
    <col min="2" max="2" width="43.7109375" style="76" customWidth="1"/>
    <col min="3" max="22" width="13.28125" style="76" customWidth="1"/>
    <col min="23" max="23" width="4.7109375" style="76" customWidth="1"/>
    <col min="24" max="24" width="13.421875" style="76" customWidth="1"/>
    <col min="25" max="16384" width="10.28125" style="76" customWidth="1"/>
  </cols>
  <sheetData>
    <row r="2" ht="15.75" thickBot="1"/>
    <row r="3" spans="2:24" ht="15.75" thickBot="1">
      <c r="B3" s="59" t="s">
        <v>0</v>
      </c>
      <c r="C3" s="46">
        <v>1</v>
      </c>
      <c r="D3" s="46">
        <f>C3+1</f>
        <v>2</v>
      </c>
      <c r="E3" s="46">
        <f aca="true" t="shared" si="0" ref="E3:V3">D3+1</f>
        <v>3</v>
      </c>
      <c r="F3" s="46">
        <f t="shared" si="0"/>
        <v>4</v>
      </c>
      <c r="G3" s="46">
        <f t="shared" si="0"/>
        <v>5</v>
      </c>
      <c r="H3" s="46">
        <f t="shared" si="0"/>
        <v>6</v>
      </c>
      <c r="I3" s="46">
        <f t="shared" si="0"/>
        <v>7</v>
      </c>
      <c r="J3" s="46">
        <f t="shared" si="0"/>
        <v>8</v>
      </c>
      <c r="K3" s="46">
        <f t="shared" si="0"/>
        <v>9</v>
      </c>
      <c r="L3" s="46">
        <f t="shared" si="0"/>
        <v>10</v>
      </c>
      <c r="M3" s="46">
        <f t="shared" si="0"/>
        <v>11</v>
      </c>
      <c r="N3" s="46">
        <f t="shared" si="0"/>
        <v>12</v>
      </c>
      <c r="O3" s="46">
        <f t="shared" si="0"/>
        <v>13</v>
      </c>
      <c r="P3" s="46">
        <f t="shared" si="0"/>
        <v>14</v>
      </c>
      <c r="Q3" s="46">
        <f t="shared" si="0"/>
        <v>15</v>
      </c>
      <c r="R3" s="46">
        <f t="shared" si="0"/>
        <v>16</v>
      </c>
      <c r="S3" s="46">
        <f t="shared" si="0"/>
        <v>17</v>
      </c>
      <c r="T3" s="46">
        <f t="shared" si="0"/>
        <v>18</v>
      </c>
      <c r="U3" s="46">
        <f t="shared" si="0"/>
        <v>19</v>
      </c>
      <c r="V3" s="46">
        <f t="shared" si="0"/>
        <v>20</v>
      </c>
      <c r="W3" s="47"/>
      <c r="X3" s="489" t="s">
        <v>283</v>
      </c>
    </row>
    <row r="4" spans="2:24" ht="15">
      <c r="B4" s="319"/>
      <c r="C4" s="320"/>
      <c r="D4" s="320"/>
      <c r="E4" s="320"/>
      <c r="F4" s="320"/>
      <c r="G4" s="320"/>
      <c r="H4" s="320"/>
      <c r="I4" s="320"/>
      <c r="J4" s="320"/>
      <c r="K4" s="320"/>
      <c r="L4" s="320"/>
      <c r="M4" s="320"/>
      <c r="N4" s="320"/>
      <c r="O4" s="320"/>
      <c r="P4" s="320"/>
      <c r="Q4" s="320"/>
      <c r="R4" s="320"/>
      <c r="S4" s="320"/>
      <c r="T4" s="320"/>
      <c r="U4" s="320"/>
      <c r="V4" s="320"/>
      <c r="W4" s="321"/>
      <c r="X4" s="142"/>
    </row>
    <row r="5" spans="2:24" ht="15">
      <c r="B5" s="10" t="s">
        <v>168</v>
      </c>
      <c r="C5" s="141"/>
      <c r="D5" s="141"/>
      <c r="E5" s="141"/>
      <c r="F5" s="141"/>
      <c r="G5" s="141"/>
      <c r="H5" s="141"/>
      <c r="I5" s="141"/>
      <c r="J5" s="141"/>
      <c r="K5" s="141"/>
      <c r="L5" s="141"/>
      <c r="M5" s="141"/>
      <c r="N5" s="141"/>
      <c r="O5" s="141"/>
      <c r="P5" s="141"/>
      <c r="Q5" s="141"/>
      <c r="R5" s="141"/>
      <c r="S5" s="141"/>
      <c r="T5" s="141"/>
      <c r="U5" s="141"/>
      <c r="V5" s="141"/>
      <c r="W5" s="142"/>
      <c r="X5" s="142"/>
    </row>
    <row r="6" spans="2:24" ht="15">
      <c r="B6" s="39" t="s">
        <v>36</v>
      </c>
      <c r="C6" s="144">
        <f ca="1">OFFSET('A&amp;D Calculations'!$F$29,C3-1,0,,)</f>
        <v>0</v>
      </c>
      <c r="D6" s="144">
        <f ca="1">OFFSET('A&amp;D Calculations'!$F$29,D3-1,0,,)</f>
        <v>145811.1193893725</v>
      </c>
      <c r="E6" s="144">
        <f ca="1">OFFSET('A&amp;D Calculations'!$F$29,E3-1,0,,)</f>
        <v>583244.47755749</v>
      </c>
      <c r="F6" s="144">
        <f ca="1">OFFSET('A&amp;D Calculations'!$F$29,F3-1,0,,)</f>
        <v>729055.5969468623</v>
      </c>
      <c r="G6" s="144">
        <f ca="1">OFFSET('A&amp;D Calculations'!$F$29,G3-1,0,,)</f>
        <v>729055.5969468623</v>
      </c>
      <c r="H6" s="144">
        <f ca="1">OFFSET('A&amp;D Calculations'!$F$29,H3-1,0,,)</f>
        <v>583244.47755749</v>
      </c>
      <c r="I6" s="144">
        <f ca="1">OFFSET('A&amp;D Calculations'!$F$29,I3-1,0,,)</f>
        <v>145811.1193893725</v>
      </c>
      <c r="J6" s="144">
        <f ca="1">OFFSET('A&amp;D Calculations'!$F$29,J3-1,0,,)</f>
        <v>0</v>
      </c>
      <c r="K6" s="144">
        <f ca="1">OFFSET('A&amp;D Calculations'!$F$29,K3-1,0,,)</f>
        <v>0</v>
      </c>
      <c r="L6" s="144">
        <f ca="1">OFFSET('A&amp;D Calculations'!$F$29,L3-1,0,,)</f>
        <v>0</v>
      </c>
      <c r="M6" s="144">
        <f ca="1">OFFSET('A&amp;D Calculations'!$F$29,M3-1,0,,)</f>
        <v>0</v>
      </c>
      <c r="N6" s="144">
        <f ca="1">OFFSET('A&amp;D Calculations'!$F$29,N3-1,0,,)</f>
        <v>0</v>
      </c>
      <c r="O6" s="144">
        <f ca="1">OFFSET('A&amp;D Calculations'!$F$29,O3-1,0,,)</f>
        <v>0</v>
      </c>
      <c r="P6" s="144">
        <f ca="1">OFFSET('A&amp;D Calculations'!$F$29,P3-1,0,,)</f>
        <v>0</v>
      </c>
      <c r="Q6" s="144">
        <f ca="1">OFFSET('A&amp;D Calculations'!$F$29,Q3-1,0,,)</f>
        <v>0</v>
      </c>
      <c r="R6" s="144">
        <f ca="1">OFFSET('A&amp;D Calculations'!$F$29,R3-1,0,,)</f>
        <v>0</v>
      </c>
      <c r="S6" s="144">
        <f ca="1">OFFSET('A&amp;D Calculations'!$F$29,S3-1,0,,)</f>
        <v>0</v>
      </c>
      <c r="T6" s="144">
        <f ca="1">OFFSET('A&amp;D Calculations'!$F$29,T3-1,0,,)</f>
        <v>0</v>
      </c>
      <c r="U6" s="144">
        <f ca="1">OFFSET('A&amp;D Calculations'!$F$29,U3-1,0,,)</f>
        <v>0</v>
      </c>
      <c r="V6" s="144">
        <f ca="1">OFFSET('A&amp;D Calculations'!$F$29,V3-1,0,,)</f>
        <v>0</v>
      </c>
      <c r="W6" s="143"/>
      <c r="X6" s="143">
        <f>SUM(C6:W6)</f>
        <v>2916222.3877874496</v>
      </c>
    </row>
    <row r="7" spans="2:24" ht="15">
      <c r="B7" s="39"/>
      <c r="C7" s="144"/>
      <c r="D7" s="144"/>
      <c r="E7" s="144"/>
      <c r="F7" s="144"/>
      <c r="G7" s="144"/>
      <c r="H7" s="144"/>
      <c r="I7" s="144"/>
      <c r="J7" s="144"/>
      <c r="K7" s="144"/>
      <c r="L7" s="144"/>
      <c r="M7" s="144"/>
      <c r="N7" s="144"/>
      <c r="O7" s="144"/>
      <c r="P7" s="144"/>
      <c r="Q7" s="144"/>
      <c r="R7" s="144"/>
      <c r="S7" s="144"/>
      <c r="T7" s="144"/>
      <c r="U7" s="144"/>
      <c r="V7" s="144"/>
      <c r="W7" s="143"/>
      <c r="X7" s="143"/>
    </row>
    <row r="8" spans="2:24" ht="15">
      <c r="B8" s="10" t="s">
        <v>169</v>
      </c>
      <c r="C8" s="141"/>
      <c r="D8" s="141"/>
      <c r="E8" s="141"/>
      <c r="F8" s="141"/>
      <c r="G8" s="141"/>
      <c r="H8" s="141"/>
      <c r="I8" s="141"/>
      <c r="J8" s="141"/>
      <c r="K8" s="141"/>
      <c r="L8" s="141"/>
      <c r="M8" s="141"/>
      <c r="N8" s="141"/>
      <c r="O8" s="141"/>
      <c r="P8" s="141"/>
      <c r="Q8" s="141"/>
      <c r="R8" s="141"/>
      <c r="S8" s="141"/>
      <c r="T8" s="141"/>
      <c r="U8" s="141"/>
      <c r="V8" s="141"/>
      <c r="W8" s="142"/>
      <c r="X8" s="142"/>
    </row>
    <row r="9" spans="2:24" ht="15">
      <c r="B9" s="39" t="s">
        <v>173</v>
      </c>
      <c r="C9" s="62">
        <f ca="1">SUM(OFFSET('A&amp;D Calculations'!$C$29,C3-1,0,,),OFFSET('A&amp;D Calculations'!$D$29,C3-1,0,,))</f>
        <v>1160250</v>
      </c>
      <c r="D9" s="62">
        <f ca="1">SUM(OFFSET('A&amp;D Calculations'!$C$29,D3-1,0,,),OFFSET('A&amp;D Calculations'!$D$29,D3-1,0,,))</f>
        <v>624750</v>
      </c>
      <c r="E9" s="62">
        <f ca="1">SUM(OFFSET('A&amp;D Calculations'!$C$29,E3-1,0,,),OFFSET('A&amp;D Calculations'!$D$29,E3-1,0,,))</f>
        <v>0</v>
      </c>
      <c r="F9" s="62">
        <f ca="1">SUM(OFFSET('A&amp;D Calculations'!$C$29,F3-1,0,,),OFFSET('A&amp;D Calculations'!$D$29,F3-1,0,,))</f>
        <v>0</v>
      </c>
      <c r="G9" s="62">
        <f ca="1">SUM(OFFSET('A&amp;D Calculations'!$C$29,G3-1,0,,),OFFSET('A&amp;D Calculations'!$D$29,G3-1,0,,))</f>
        <v>0</v>
      </c>
      <c r="H9" s="62">
        <f ca="1">SUM(OFFSET('A&amp;D Calculations'!$C$29,H3-1,0,,),OFFSET('A&amp;D Calculations'!$D$29,H3-1,0,,))</f>
        <v>0</v>
      </c>
      <c r="I9" s="62">
        <f ca="1">SUM(OFFSET('A&amp;D Calculations'!$C$29,I3-1,0,,),OFFSET('A&amp;D Calculations'!$D$29,I3-1,0,,))</f>
        <v>0</v>
      </c>
      <c r="J9" s="62">
        <f ca="1">SUM(OFFSET('A&amp;D Calculations'!$C$29,J3-1,0,,),OFFSET('A&amp;D Calculations'!$D$29,J3-1,0,,))</f>
        <v>0</v>
      </c>
      <c r="K9" s="62">
        <f ca="1">SUM(OFFSET('A&amp;D Calculations'!$C$29,K3-1,0,,),OFFSET('A&amp;D Calculations'!$D$29,K3-1,0,,))</f>
        <v>0</v>
      </c>
      <c r="L9" s="62">
        <f ca="1">SUM(OFFSET('A&amp;D Calculations'!$C$29,L3-1,0,,),OFFSET('A&amp;D Calculations'!$D$29,L3-1,0,,))</f>
        <v>0</v>
      </c>
      <c r="M9" s="62">
        <f ca="1">SUM(OFFSET('A&amp;D Calculations'!$C$29,M3-1,0,,),OFFSET('A&amp;D Calculations'!$D$29,M3-1,0,,))</f>
        <v>0</v>
      </c>
      <c r="N9" s="62">
        <f ca="1">SUM(OFFSET('A&amp;D Calculations'!$C$29,N3-1,0,,),OFFSET('A&amp;D Calculations'!$D$29,N3-1,0,,))</f>
        <v>0</v>
      </c>
      <c r="O9" s="62">
        <f ca="1">SUM(OFFSET('A&amp;D Calculations'!$C$29,O3-1,0,,),OFFSET('A&amp;D Calculations'!$D$29,O3-1,0,,))</f>
        <v>0</v>
      </c>
      <c r="P9" s="62">
        <f ca="1">SUM(OFFSET('A&amp;D Calculations'!$C$29,P3-1,0,,),OFFSET('A&amp;D Calculations'!$D$29,P3-1,0,,))</f>
        <v>0</v>
      </c>
      <c r="Q9" s="62">
        <f ca="1">SUM(OFFSET('A&amp;D Calculations'!$C$29,Q3-1,0,,),OFFSET('A&amp;D Calculations'!$D$29,Q3-1,0,,))</f>
        <v>0</v>
      </c>
      <c r="R9" s="62">
        <f ca="1">SUM(OFFSET('A&amp;D Calculations'!$C$29,R3-1,0,,),OFFSET('A&amp;D Calculations'!$D$29,R3-1,0,,))</f>
        <v>0</v>
      </c>
      <c r="S9" s="62">
        <f ca="1">SUM(OFFSET('A&amp;D Calculations'!$C$29,S3-1,0,,),OFFSET('A&amp;D Calculations'!$D$29,S3-1,0,,))</f>
        <v>0</v>
      </c>
      <c r="T9" s="62">
        <f ca="1">SUM(OFFSET('A&amp;D Calculations'!$C$29,T3-1,0,,),OFFSET('A&amp;D Calculations'!$D$29,T3-1,0,,))</f>
        <v>0</v>
      </c>
      <c r="U9" s="62">
        <f ca="1">SUM(OFFSET('A&amp;D Calculations'!$C$29,U3-1,0,,),OFFSET('A&amp;D Calculations'!$D$29,U3-1,0,,))</f>
        <v>0</v>
      </c>
      <c r="V9" s="62">
        <f ca="1">SUM(OFFSET('A&amp;D Calculations'!$C$29,V3-1,0,,),OFFSET('A&amp;D Calculations'!$D$29,V3-1,0,,))</f>
        <v>0</v>
      </c>
      <c r="W9" s="143"/>
      <c r="X9" s="143">
        <f>SUM(C9:W9)</f>
        <v>1785000</v>
      </c>
    </row>
    <row r="10" spans="2:24" ht="15">
      <c r="B10" s="39" t="s">
        <v>50</v>
      </c>
      <c r="C10" s="144">
        <f ca="1">OFFSET('A&amp;D Calculations'!$L$29,C3-1,0,,)</f>
        <v>68000</v>
      </c>
      <c r="D10" s="144">
        <f ca="1">OFFSET('A&amp;D Calculations'!$L$29,D3-1,0,,)</f>
        <v>64600</v>
      </c>
      <c r="E10" s="144">
        <f ca="1">OFFSET('A&amp;D Calculations'!$L$29,E3-1,0,,)</f>
        <v>51000</v>
      </c>
      <c r="F10" s="144">
        <f ca="1">OFFSET('A&amp;D Calculations'!$L$29,F3-1,0,,)</f>
        <v>34000</v>
      </c>
      <c r="G10" s="144">
        <f ca="1">OFFSET('A&amp;D Calculations'!$L$29,G3-1,0,,)</f>
        <v>17000</v>
      </c>
      <c r="H10" s="144">
        <f ca="1">OFFSET('A&amp;D Calculations'!$L$29,H3-1,0,,)</f>
        <v>3399.9999999999955</v>
      </c>
      <c r="I10" s="144">
        <f ca="1">OFFSET('A&amp;D Calculations'!$L$29,I3-1,0,,)</f>
        <v>0</v>
      </c>
      <c r="J10" s="144">
        <f ca="1">OFFSET('A&amp;D Calculations'!$L$29,J3-1,0,,)</f>
        <v>0</v>
      </c>
      <c r="K10" s="144">
        <f ca="1">OFFSET('A&amp;D Calculations'!$L$29,K3-1,0,,)</f>
        <v>0</v>
      </c>
      <c r="L10" s="144">
        <f ca="1">OFFSET('A&amp;D Calculations'!$L$29,L3-1,0,,)</f>
        <v>0</v>
      </c>
      <c r="M10" s="144">
        <f ca="1">OFFSET('A&amp;D Calculations'!$L$29,M3-1,0,,)</f>
        <v>0</v>
      </c>
      <c r="N10" s="144">
        <f ca="1">OFFSET('A&amp;D Calculations'!$L$29,N3-1,0,,)</f>
        <v>0</v>
      </c>
      <c r="O10" s="144">
        <f ca="1">OFFSET('A&amp;D Calculations'!$L$29,O3-1,0,,)</f>
        <v>0</v>
      </c>
      <c r="P10" s="144">
        <f ca="1">OFFSET('A&amp;D Calculations'!$L$29,P3-1,0,,)</f>
        <v>0</v>
      </c>
      <c r="Q10" s="144">
        <f ca="1">OFFSET('A&amp;D Calculations'!$L$29,Q3-1,0,,)</f>
        <v>0</v>
      </c>
      <c r="R10" s="144">
        <f ca="1">OFFSET('A&amp;D Calculations'!$L$29,R3-1,0,,)</f>
        <v>0</v>
      </c>
      <c r="S10" s="144">
        <f ca="1">OFFSET('A&amp;D Calculations'!$L$29,S3-1,0,,)</f>
        <v>0</v>
      </c>
      <c r="T10" s="144">
        <f ca="1">OFFSET('A&amp;D Calculations'!$L$29,T3-1,0,,)</f>
        <v>0</v>
      </c>
      <c r="U10" s="144">
        <f ca="1">OFFSET('A&amp;D Calculations'!$L$29,U3-1,0,,)</f>
        <v>0</v>
      </c>
      <c r="V10" s="144">
        <f ca="1">OFFSET('A&amp;D Calculations'!$L$29,V3-1,0,,)</f>
        <v>0</v>
      </c>
      <c r="W10" s="143"/>
      <c r="X10" s="143">
        <f>SUM(C10:W10)</f>
        <v>238000</v>
      </c>
    </row>
    <row r="11" spans="2:24" ht="15">
      <c r="B11" s="39"/>
      <c r="C11" s="144"/>
      <c r="D11" s="144"/>
      <c r="E11" s="144"/>
      <c r="F11" s="144"/>
      <c r="G11" s="144"/>
      <c r="H11" s="144"/>
      <c r="I11" s="144"/>
      <c r="J11" s="144"/>
      <c r="K11" s="144"/>
      <c r="L11" s="144"/>
      <c r="M11" s="144"/>
      <c r="N11" s="144"/>
      <c r="O11" s="144"/>
      <c r="P11" s="144"/>
      <c r="Q11" s="144"/>
      <c r="R11" s="144"/>
      <c r="S11" s="144"/>
      <c r="T11" s="144"/>
      <c r="U11" s="141"/>
      <c r="V11" s="141"/>
      <c r="W11" s="142"/>
      <c r="X11" s="142"/>
    </row>
    <row r="12" spans="2:24" ht="15">
      <c r="B12" s="10" t="s">
        <v>171</v>
      </c>
      <c r="C12" s="141"/>
      <c r="D12" s="141"/>
      <c r="E12" s="141"/>
      <c r="F12" s="141"/>
      <c r="G12" s="141"/>
      <c r="H12" s="141"/>
      <c r="I12" s="141"/>
      <c r="J12" s="141"/>
      <c r="K12" s="141"/>
      <c r="L12" s="141"/>
      <c r="M12" s="141"/>
      <c r="N12" s="141"/>
      <c r="O12" s="141"/>
      <c r="P12" s="141"/>
      <c r="Q12" s="141"/>
      <c r="R12" s="141"/>
      <c r="S12" s="141"/>
      <c r="T12" s="141"/>
      <c r="U12" s="141"/>
      <c r="V12" s="141"/>
      <c r="W12" s="142"/>
      <c r="X12" s="142"/>
    </row>
    <row r="13" spans="2:24" ht="15">
      <c r="B13" s="39" t="s">
        <v>38</v>
      </c>
      <c r="C13" s="139">
        <f ca="1">OFFSET('A&amp;D Calculations'!$C$29,C3-1,0,,)</f>
        <v>936000</v>
      </c>
      <c r="D13" s="139">
        <f ca="1">OFFSET('A&amp;D Calculations'!$C$29,D3-1,0,,)</f>
        <v>504000</v>
      </c>
      <c r="E13" s="139">
        <f ca="1">OFFSET('A&amp;D Calculations'!$C$29,E3-1,0,,)</f>
        <v>0</v>
      </c>
      <c r="F13" s="139">
        <f ca="1">OFFSET('A&amp;D Calculations'!$C$29,F3-1,0,,)</f>
        <v>0</v>
      </c>
      <c r="G13" s="139">
        <f ca="1">OFFSET('A&amp;D Calculations'!$C$29,G3-1,0,,)</f>
        <v>0</v>
      </c>
      <c r="H13" s="139">
        <f ca="1">OFFSET('A&amp;D Calculations'!$C$29,H3-1,0,,)</f>
        <v>0</v>
      </c>
      <c r="I13" s="139">
        <f ca="1">OFFSET('A&amp;D Calculations'!$C$29,I3-1,0,,)</f>
        <v>0</v>
      </c>
      <c r="J13" s="139">
        <f ca="1">OFFSET('A&amp;D Calculations'!$C$29,J3-1,0,,)</f>
        <v>0</v>
      </c>
      <c r="K13" s="139">
        <f ca="1">OFFSET('A&amp;D Calculations'!$C$29,K3-1,0,,)</f>
        <v>0</v>
      </c>
      <c r="L13" s="139">
        <f ca="1">OFFSET('A&amp;D Calculations'!$C$29,L3-1,0,,)</f>
        <v>0</v>
      </c>
      <c r="M13" s="139">
        <f ca="1">OFFSET('A&amp;D Calculations'!$C$29,M3-1,0,,)</f>
        <v>0</v>
      </c>
      <c r="N13" s="139">
        <f ca="1">OFFSET('A&amp;D Calculations'!$C$29,N3-1,0,,)</f>
        <v>0</v>
      </c>
      <c r="O13" s="139">
        <f ca="1">OFFSET('A&amp;D Calculations'!$C$29,O3-1,0,,)</f>
        <v>0</v>
      </c>
      <c r="P13" s="139">
        <f ca="1">OFFSET('A&amp;D Calculations'!$C$29,P3-1,0,,)</f>
        <v>0</v>
      </c>
      <c r="Q13" s="139">
        <f ca="1">OFFSET('A&amp;D Calculations'!$C$29,Q3-1,0,,)</f>
        <v>0</v>
      </c>
      <c r="R13" s="139">
        <f ca="1">OFFSET('A&amp;D Calculations'!$C$29,R3-1,0,,)</f>
        <v>0</v>
      </c>
      <c r="S13" s="139">
        <f ca="1">OFFSET('A&amp;D Calculations'!$C$29,S3-1,0,,)</f>
        <v>0</v>
      </c>
      <c r="T13" s="139">
        <f ca="1">OFFSET('A&amp;D Calculations'!$C$29,T3-1,0,,)</f>
        <v>0</v>
      </c>
      <c r="U13" s="139">
        <f ca="1">OFFSET('A&amp;D Calculations'!$C$29,U3-1,0,,)</f>
        <v>0</v>
      </c>
      <c r="V13" s="139">
        <f ca="1">OFFSET('A&amp;D Calculations'!$C$29,V3-1,0,,)</f>
        <v>0</v>
      </c>
      <c r="W13" s="145"/>
      <c r="X13" s="143">
        <f>SUM(C13:W13)</f>
        <v>1440000</v>
      </c>
    </row>
    <row r="14" spans="2:24" ht="15">
      <c r="B14" s="39" t="s">
        <v>102</v>
      </c>
      <c r="C14" s="139">
        <f ca="1">OFFSET('A&amp;D Calculations'!$M$29,C3-1,0,,)</f>
        <v>14400</v>
      </c>
      <c r="D14" s="139">
        <f ca="1">OFFSET('A&amp;D Calculations'!$M$29,D3-1,0,,)</f>
        <v>0</v>
      </c>
      <c r="E14" s="139">
        <f ca="1">OFFSET('A&amp;D Calculations'!$M$29,E3-1,0,,)</f>
        <v>0</v>
      </c>
      <c r="F14" s="139">
        <f ca="1">OFFSET('A&amp;D Calculations'!$M$29,F3-1,0,,)</f>
        <v>0</v>
      </c>
      <c r="G14" s="139">
        <f ca="1">OFFSET('A&amp;D Calculations'!$M$29,G3-1,0,,)</f>
        <v>0</v>
      </c>
      <c r="H14" s="139">
        <f ca="1">OFFSET('A&amp;D Calculations'!$M$29,H3-1,0,,)</f>
        <v>0</v>
      </c>
      <c r="I14" s="139">
        <f ca="1">OFFSET('A&amp;D Calculations'!$M$29,I3-1,0,,)</f>
        <v>0</v>
      </c>
      <c r="J14" s="139">
        <f ca="1">OFFSET('A&amp;D Calculations'!$M$29,J3-1,0,,)</f>
        <v>0</v>
      </c>
      <c r="K14" s="139">
        <f ca="1">OFFSET('A&amp;D Calculations'!$M$29,K3-1,0,,)</f>
        <v>0</v>
      </c>
      <c r="L14" s="139">
        <f ca="1">OFFSET('A&amp;D Calculations'!$M$29,L3-1,0,,)</f>
        <v>0</v>
      </c>
      <c r="M14" s="139">
        <f ca="1">OFFSET('A&amp;D Calculations'!$M$29,M3-1,0,,)</f>
        <v>0</v>
      </c>
      <c r="N14" s="139">
        <f ca="1">OFFSET('A&amp;D Calculations'!$M$29,N3-1,0,,)</f>
        <v>0</v>
      </c>
      <c r="O14" s="139">
        <f ca="1">OFFSET('A&amp;D Calculations'!$M$29,O3-1,0,,)</f>
        <v>0</v>
      </c>
      <c r="P14" s="139">
        <f ca="1">OFFSET('A&amp;D Calculations'!$M$29,P3-1,0,,)</f>
        <v>0</v>
      </c>
      <c r="Q14" s="139">
        <f ca="1">OFFSET('A&amp;D Calculations'!$M$29,Q3-1,0,,)</f>
        <v>0</v>
      </c>
      <c r="R14" s="139">
        <f ca="1">OFFSET('A&amp;D Calculations'!$M$29,R3-1,0,,)</f>
        <v>0</v>
      </c>
      <c r="S14" s="139">
        <f ca="1">OFFSET('A&amp;D Calculations'!$M$29,S3-1,0,,)</f>
        <v>0</v>
      </c>
      <c r="T14" s="139">
        <f ca="1">OFFSET('A&amp;D Calculations'!$M$29,T3-1,0,,)</f>
        <v>0</v>
      </c>
      <c r="U14" s="139">
        <f ca="1">OFFSET('A&amp;D Calculations'!$M$29,U3-1,0,,)</f>
        <v>0</v>
      </c>
      <c r="V14" s="139">
        <f ca="1">OFFSET('A&amp;D Calculations'!$M$29,V3-1,0,,)</f>
        <v>0</v>
      </c>
      <c r="W14" s="142"/>
      <c r="X14" s="143">
        <f>SUM(C14:W14)</f>
        <v>14400</v>
      </c>
    </row>
    <row r="15" spans="2:24" ht="15">
      <c r="B15" s="39" t="s">
        <v>39</v>
      </c>
      <c r="C15" s="139">
        <f ca="1">OFFSET('A&amp;D Calculations'!$H$29,C3-1,0,,)</f>
        <v>0</v>
      </c>
      <c r="D15" s="139">
        <f ca="1">OFFSET('A&amp;D Calculations'!$H$29,D3-1,0,,)</f>
        <v>84971.1193893725</v>
      </c>
      <c r="E15" s="139">
        <f ca="1">OFFSET('A&amp;D Calculations'!$H$29,E3-1,0,,)</f>
        <v>495167.6003177992</v>
      </c>
      <c r="F15" s="139">
        <f ca="1">OFFSET('A&amp;D Calculations'!$H$29,F3-1,0,,)</f>
        <v>673164.6137278285</v>
      </c>
      <c r="G15" s="139">
        <f ca="1">OFFSET('A&amp;D Calculations'!$H$29,G3-1,0,,)</f>
        <v>186696.66656499985</v>
      </c>
      <c r="H15" s="139">
        <f ca="1">OFFSET('A&amp;D Calculations'!$H$29,H3-1,0,,)</f>
        <v>0</v>
      </c>
      <c r="I15" s="139">
        <f ca="1">OFFSET('A&amp;D Calculations'!$H$29,I3-1,0,,)</f>
        <v>0</v>
      </c>
      <c r="J15" s="139">
        <f ca="1">OFFSET('A&amp;D Calculations'!$H$29,J3-1,0,,)</f>
        <v>0</v>
      </c>
      <c r="K15" s="139">
        <f ca="1">OFFSET('A&amp;D Calculations'!$H$29,K3-1,0,,)</f>
        <v>0</v>
      </c>
      <c r="L15" s="139">
        <f ca="1">OFFSET('A&amp;D Calculations'!$H$29,L3-1,0,,)</f>
        <v>0</v>
      </c>
      <c r="M15" s="139">
        <f ca="1">OFFSET('A&amp;D Calculations'!$H$29,M3-1,0,,)</f>
        <v>0</v>
      </c>
      <c r="N15" s="139">
        <f ca="1">OFFSET('A&amp;D Calculations'!$H$29,N3-1,0,,)</f>
        <v>0</v>
      </c>
      <c r="O15" s="139">
        <f ca="1">OFFSET('A&amp;D Calculations'!$H$29,O3-1,0,,)</f>
        <v>0</v>
      </c>
      <c r="P15" s="139">
        <f ca="1">OFFSET('A&amp;D Calculations'!$H$29,P3-1,0,,)</f>
        <v>0</v>
      </c>
      <c r="Q15" s="139">
        <f ca="1">OFFSET('A&amp;D Calculations'!$H$29,Q3-1,0,,)</f>
        <v>0</v>
      </c>
      <c r="R15" s="139">
        <f ca="1">OFFSET('A&amp;D Calculations'!$H$29,R3-1,0,,)</f>
        <v>0</v>
      </c>
      <c r="S15" s="139">
        <f ca="1">OFFSET('A&amp;D Calculations'!$H$29,S3-1,0,,)</f>
        <v>0</v>
      </c>
      <c r="T15" s="139">
        <f ca="1">OFFSET('A&amp;D Calculations'!$H$29,T3-1,0,,)</f>
        <v>0</v>
      </c>
      <c r="U15" s="139">
        <f ca="1">OFFSET('A&amp;D Calculations'!$H$29,U3-1,0,,)</f>
        <v>0</v>
      </c>
      <c r="V15" s="139">
        <f ca="1">OFFSET('A&amp;D Calculations'!$H$29,V3-1,0,,)</f>
        <v>0</v>
      </c>
      <c r="W15" s="145"/>
      <c r="X15" s="143">
        <f>SUM(C15:W15)</f>
        <v>1440000</v>
      </c>
    </row>
    <row r="16" spans="2:24" ht="15">
      <c r="B16" s="39" t="s">
        <v>174</v>
      </c>
      <c r="C16" s="139">
        <f ca="1">OFFSET('A&amp;D Calculations'!$G$29,C3-1,0,,)</f>
        <v>0</v>
      </c>
      <c r="D16" s="139">
        <f ca="1">OFFSET('A&amp;D Calculations'!$G$29,D3-1,0,,)</f>
        <v>60840</v>
      </c>
      <c r="E16" s="139">
        <f ca="1">OFFSET('A&amp;D Calculations'!$G$29,E3-1,0,,)</f>
        <v>88076.8772396908</v>
      </c>
      <c r="F16" s="139">
        <f ca="1">OFFSET('A&amp;D Calculations'!$G$29,F3-1,0,,)</f>
        <v>55890.983219033835</v>
      </c>
      <c r="G16" s="139">
        <f ca="1">OFFSET('A&amp;D Calculations'!$G$29,G3-1,0,,)</f>
        <v>12135.283326724995</v>
      </c>
      <c r="H16" s="139">
        <f ca="1">OFFSET('A&amp;D Calculations'!$G$29,H3-1,0,,)</f>
        <v>0</v>
      </c>
      <c r="I16" s="139">
        <f ca="1">OFFSET('A&amp;D Calculations'!$G$29,I3-1,0,,)</f>
        <v>0</v>
      </c>
      <c r="J16" s="139">
        <f ca="1">OFFSET('A&amp;D Calculations'!$G$29,J3-1,0,,)</f>
        <v>0</v>
      </c>
      <c r="K16" s="139">
        <f ca="1">OFFSET('A&amp;D Calculations'!$G$29,K3-1,0,,)</f>
        <v>0</v>
      </c>
      <c r="L16" s="139">
        <f ca="1">OFFSET('A&amp;D Calculations'!$G$29,L3-1,0,,)</f>
        <v>0</v>
      </c>
      <c r="M16" s="139">
        <f ca="1">OFFSET('A&amp;D Calculations'!$G$29,M3-1,0,,)</f>
        <v>0</v>
      </c>
      <c r="N16" s="139">
        <f ca="1">OFFSET('A&amp;D Calculations'!$G$29,N3-1,0,,)</f>
        <v>0</v>
      </c>
      <c r="O16" s="139">
        <f ca="1">OFFSET('A&amp;D Calculations'!$G$29,O3-1,0,,)</f>
        <v>0</v>
      </c>
      <c r="P16" s="139">
        <f ca="1">OFFSET('A&amp;D Calculations'!$G$29,P3-1,0,,)</f>
        <v>0</v>
      </c>
      <c r="Q16" s="139">
        <f ca="1">OFFSET('A&amp;D Calculations'!$G$29,Q3-1,0,,)</f>
        <v>0</v>
      </c>
      <c r="R16" s="139">
        <f ca="1">OFFSET('A&amp;D Calculations'!$G$29,R3-1,0,,)</f>
        <v>0</v>
      </c>
      <c r="S16" s="139">
        <f ca="1">OFFSET('A&amp;D Calculations'!$G$29,S3-1,0,,)</f>
        <v>0</v>
      </c>
      <c r="T16" s="139">
        <f ca="1">OFFSET('A&amp;D Calculations'!$G$29,T3-1,0,,)</f>
        <v>0</v>
      </c>
      <c r="U16" s="139">
        <f ca="1">OFFSET('A&amp;D Calculations'!$G$29,U3-1,0,,)</f>
        <v>0</v>
      </c>
      <c r="V16" s="139">
        <f ca="1">OFFSET('A&amp;D Calculations'!$G$29,V3-1,0,,)</f>
        <v>0</v>
      </c>
      <c r="W16" s="145"/>
      <c r="X16" s="143">
        <f>SUM(C16:W16)</f>
        <v>216943.14378544962</v>
      </c>
    </row>
    <row r="17" spans="2:24" ht="15">
      <c r="B17" s="39"/>
      <c r="C17" s="139"/>
      <c r="D17" s="139"/>
      <c r="E17" s="139"/>
      <c r="F17" s="139"/>
      <c r="G17" s="139"/>
      <c r="H17" s="139"/>
      <c r="I17" s="139"/>
      <c r="J17" s="139"/>
      <c r="K17" s="139"/>
      <c r="L17" s="139"/>
      <c r="M17" s="139"/>
      <c r="N17" s="139"/>
      <c r="O17" s="139"/>
      <c r="P17" s="139"/>
      <c r="Q17" s="139"/>
      <c r="R17" s="139"/>
      <c r="S17" s="139"/>
      <c r="T17" s="139"/>
      <c r="U17" s="139"/>
      <c r="V17" s="139"/>
      <c r="W17" s="145"/>
      <c r="X17" s="143"/>
    </row>
    <row r="18" spans="2:24" ht="15.75" thickBot="1">
      <c r="B18" s="32" t="s">
        <v>172</v>
      </c>
      <c r="C18" s="147">
        <f aca="true" t="shared" si="1" ref="C18:V18">C6+C13-C9-C10-C14-C15-C16</f>
        <v>-306650</v>
      </c>
      <c r="D18" s="147">
        <f t="shared" si="1"/>
        <v>-185349.99999999997</v>
      </c>
      <c r="E18" s="147">
        <f t="shared" si="1"/>
        <v>-51000</v>
      </c>
      <c r="F18" s="147">
        <f t="shared" si="1"/>
        <v>-34000.00000000003</v>
      </c>
      <c r="G18" s="147">
        <f t="shared" si="1"/>
        <v>513223.64705513744</v>
      </c>
      <c r="H18" s="147">
        <f t="shared" si="1"/>
        <v>579844.47755749</v>
      </c>
      <c r="I18" s="147">
        <f t="shared" si="1"/>
        <v>145811.1193893725</v>
      </c>
      <c r="J18" s="147">
        <f t="shared" si="1"/>
        <v>0</v>
      </c>
      <c r="K18" s="147">
        <f t="shared" si="1"/>
        <v>0</v>
      </c>
      <c r="L18" s="147">
        <f t="shared" si="1"/>
        <v>0</v>
      </c>
      <c r="M18" s="147">
        <f t="shared" si="1"/>
        <v>0</v>
      </c>
      <c r="N18" s="147">
        <f t="shared" si="1"/>
        <v>0</v>
      </c>
      <c r="O18" s="147">
        <f t="shared" si="1"/>
        <v>0</v>
      </c>
      <c r="P18" s="147">
        <f t="shared" si="1"/>
        <v>0</v>
      </c>
      <c r="Q18" s="147">
        <f t="shared" si="1"/>
        <v>0</v>
      </c>
      <c r="R18" s="147">
        <f t="shared" si="1"/>
        <v>0</v>
      </c>
      <c r="S18" s="147">
        <f t="shared" si="1"/>
        <v>0</v>
      </c>
      <c r="T18" s="147">
        <f t="shared" si="1"/>
        <v>0</v>
      </c>
      <c r="U18" s="147">
        <f t="shared" si="1"/>
        <v>0</v>
      </c>
      <c r="V18" s="147">
        <f t="shared" si="1"/>
        <v>0</v>
      </c>
      <c r="W18" s="322"/>
      <c r="X18" s="148">
        <f>SUM(C18:W18)</f>
        <v>661879.244002</v>
      </c>
    </row>
    <row r="19" spans="2:24" ht="15">
      <c r="B19" s="39"/>
      <c r="C19" s="144"/>
      <c r="D19" s="144"/>
      <c r="E19" s="144"/>
      <c r="F19" s="144"/>
      <c r="G19" s="144"/>
      <c r="H19" s="144"/>
      <c r="I19" s="144"/>
      <c r="J19" s="144"/>
      <c r="K19" s="144"/>
      <c r="L19" s="144"/>
      <c r="M19" s="144"/>
      <c r="N19" s="144"/>
      <c r="O19" s="144"/>
      <c r="P19" s="144"/>
      <c r="Q19" s="144"/>
      <c r="R19" s="144"/>
      <c r="S19" s="144"/>
      <c r="T19" s="144"/>
      <c r="U19" s="144"/>
      <c r="V19" s="144"/>
      <c r="W19" s="142"/>
      <c r="X19" s="142"/>
    </row>
    <row r="20" spans="2:24" ht="15">
      <c r="B20" s="39" t="s">
        <v>278</v>
      </c>
      <c r="C20" s="144">
        <f aca="true" t="shared" si="2" ref="C20:V20">+C6-C9-C10</f>
        <v>-1228250</v>
      </c>
      <c r="D20" s="144">
        <f t="shared" si="2"/>
        <v>-543538.8806106275</v>
      </c>
      <c r="E20" s="144">
        <f t="shared" si="2"/>
        <v>532244.47755749</v>
      </c>
      <c r="F20" s="144">
        <f t="shared" si="2"/>
        <v>695055.5969468623</v>
      </c>
      <c r="G20" s="144">
        <f t="shared" si="2"/>
        <v>712055.5969468623</v>
      </c>
      <c r="H20" s="144">
        <f t="shared" si="2"/>
        <v>579844.47755749</v>
      </c>
      <c r="I20" s="144">
        <f t="shared" si="2"/>
        <v>145811.1193893725</v>
      </c>
      <c r="J20" s="144">
        <f t="shared" si="2"/>
        <v>0</v>
      </c>
      <c r="K20" s="144">
        <f t="shared" si="2"/>
        <v>0</v>
      </c>
      <c r="L20" s="144">
        <f t="shared" si="2"/>
        <v>0</v>
      </c>
      <c r="M20" s="144">
        <f t="shared" si="2"/>
        <v>0</v>
      </c>
      <c r="N20" s="144">
        <f t="shared" si="2"/>
        <v>0</v>
      </c>
      <c r="O20" s="144">
        <f t="shared" si="2"/>
        <v>0</v>
      </c>
      <c r="P20" s="144">
        <f t="shared" si="2"/>
        <v>0</v>
      </c>
      <c r="Q20" s="144">
        <f t="shared" si="2"/>
        <v>0</v>
      </c>
      <c r="R20" s="144">
        <f t="shared" si="2"/>
        <v>0</v>
      </c>
      <c r="S20" s="144">
        <f t="shared" si="2"/>
        <v>0</v>
      </c>
      <c r="T20" s="144">
        <f t="shared" si="2"/>
        <v>0</v>
      </c>
      <c r="U20" s="144">
        <f t="shared" si="2"/>
        <v>0</v>
      </c>
      <c r="V20" s="144">
        <f t="shared" si="2"/>
        <v>0</v>
      </c>
      <c r="W20" s="142"/>
      <c r="X20" s="143">
        <f aca="true" t="shared" si="3" ref="X20:X26">SUM(C20:W20)</f>
        <v>893222.3877874496</v>
      </c>
    </row>
    <row r="21" spans="2:24" ht="15">
      <c r="B21" s="39" t="s">
        <v>279</v>
      </c>
      <c r="C21" s="144">
        <f aca="true" t="shared" si="4" ref="C21:V21">+C6-C9-C10+C13-C14-C15-C16</f>
        <v>-306650</v>
      </c>
      <c r="D21" s="144">
        <f t="shared" si="4"/>
        <v>-185349.99999999997</v>
      </c>
      <c r="E21" s="144">
        <f t="shared" si="4"/>
        <v>-51000</v>
      </c>
      <c r="F21" s="144">
        <f t="shared" si="4"/>
        <v>-34000.00000000003</v>
      </c>
      <c r="G21" s="144">
        <f t="shared" si="4"/>
        <v>513223.64705513744</v>
      </c>
      <c r="H21" s="144">
        <f t="shared" si="4"/>
        <v>579844.47755749</v>
      </c>
      <c r="I21" s="144">
        <f t="shared" si="4"/>
        <v>145811.1193893725</v>
      </c>
      <c r="J21" s="144">
        <f t="shared" si="4"/>
        <v>0</v>
      </c>
      <c r="K21" s="144">
        <f t="shared" si="4"/>
        <v>0</v>
      </c>
      <c r="L21" s="144">
        <f t="shared" si="4"/>
        <v>0</v>
      </c>
      <c r="M21" s="144">
        <f t="shared" si="4"/>
        <v>0</v>
      </c>
      <c r="N21" s="144">
        <f t="shared" si="4"/>
        <v>0</v>
      </c>
      <c r="O21" s="144">
        <f t="shared" si="4"/>
        <v>0</v>
      </c>
      <c r="P21" s="144">
        <f t="shared" si="4"/>
        <v>0</v>
      </c>
      <c r="Q21" s="144">
        <f t="shared" si="4"/>
        <v>0</v>
      </c>
      <c r="R21" s="144">
        <f t="shared" si="4"/>
        <v>0</v>
      </c>
      <c r="S21" s="144">
        <f t="shared" si="4"/>
        <v>0</v>
      </c>
      <c r="T21" s="144">
        <f t="shared" si="4"/>
        <v>0</v>
      </c>
      <c r="U21" s="144">
        <f t="shared" si="4"/>
        <v>0</v>
      </c>
      <c r="V21" s="144">
        <f t="shared" si="4"/>
        <v>0</v>
      </c>
      <c r="W21" s="145"/>
      <c r="X21" s="143">
        <f t="shared" si="3"/>
        <v>661879.244002</v>
      </c>
    </row>
    <row r="22" spans="2:24" ht="15">
      <c r="B22" s="10" t="s">
        <v>170</v>
      </c>
      <c r="C22" s="144"/>
      <c r="D22" s="144"/>
      <c r="E22" s="144"/>
      <c r="F22" s="144"/>
      <c r="G22" s="144"/>
      <c r="H22" s="144"/>
      <c r="I22" s="144"/>
      <c r="J22" s="144"/>
      <c r="K22" s="144"/>
      <c r="L22" s="144"/>
      <c r="M22" s="144"/>
      <c r="N22" s="144"/>
      <c r="O22" s="144"/>
      <c r="P22" s="144"/>
      <c r="Q22" s="144"/>
      <c r="R22" s="144"/>
      <c r="S22" s="144"/>
      <c r="T22" s="144"/>
      <c r="U22" s="144"/>
      <c r="V22" s="144"/>
      <c r="W22" s="142"/>
      <c r="X22" s="143">
        <f t="shared" si="3"/>
        <v>0</v>
      </c>
    </row>
    <row r="23" spans="2:24" ht="15">
      <c r="B23" s="501" t="s">
        <v>288</v>
      </c>
      <c r="C23" s="144">
        <f>MAX(-C18-C10,0)</f>
        <v>238650</v>
      </c>
      <c r="D23" s="144">
        <f aca="true" t="shared" si="5" ref="D23:V23">MAX(-D18-D10,0)</f>
        <v>120749.99999999997</v>
      </c>
      <c r="E23" s="144">
        <f t="shared" si="5"/>
        <v>0</v>
      </c>
      <c r="F23" s="144">
        <f t="shared" si="5"/>
        <v>2.9103830456733704E-11</v>
      </c>
      <c r="G23" s="144">
        <f t="shared" si="5"/>
        <v>0</v>
      </c>
      <c r="H23" s="144">
        <f t="shared" si="5"/>
        <v>0</v>
      </c>
      <c r="I23" s="144">
        <f t="shared" si="5"/>
        <v>0</v>
      </c>
      <c r="J23" s="144">
        <f t="shared" si="5"/>
        <v>0</v>
      </c>
      <c r="K23" s="144">
        <f t="shared" si="5"/>
        <v>0</v>
      </c>
      <c r="L23" s="144">
        <f t="shared" si="5"/>
        <v>0</v>
      </c>
      <c r="M23" s="144">
        <f t="shared" si="5"/>
        <v>0</v>
      </c>
      <c r="N23" s="144">
        <f t="shared" si="5"/>
        <v>0</v>
      </c>
      <c r="O23" s="144">
        <f t="shared" si="5"/>
        <v>0</v>
      </c>
      <c r="P23" s="144">
        <f t="shared" si="5"/>
        <v>0</v>
      </c>
      <c r="Q23" s="144">
        <f t="shared" si="5"/>
        <v>0</v>
      </c>
      <c r="R23" s="144">
        <f t="shared" si="5"/>
        <v>0</v>
      </c>
      <c r="S23" s="144">
        <f t="shared" si="5"/>
        <v>0</v>
      </c>
      <c r="T23" s="144">
        <f t="shared" si="5"/>
        <v>0</v>
      </c>
      <c r="U23" s="144">
        <f t="shared" si="5"/>
        <v>0</v>
      </c>
      <c r="V23" s="144">
        <f t="shared" si="5"/>
        <v>0</v>
      </c>
      <c r="W23" s="142"/>
      <c r="X23" s="143">
        <f t="shared" si="3"/>
        <v>359400</v>
      </c>
    </row>
    <row r="24" spans="2:24" ht="15">
      <c r="B24" s="39" t="s">
        <v>293</v>
      </c>
      <c r="C24" s="144">
        <f>IF(C18&gt;0,0,MAX(-C10,C18)-X23)</f>
        <v>-427400</v>
      </c>
      <c r="D24" s="144">
        <f>IF(D18&gt;0,0,MAX(-D10,D18))</f>
        <v>-64600</v>
      </c>
      <c r="E24" s="144">
        <f>IF(E18&gt;0,0,MAX(-E10,E18))</f>
        <v>-51000</v>
      </c>
      <c r="F24" s="144">
        <f>IF(F18&gt;0,0,MAX(-F10,F18))</f>
        <v>-34000</v>
      </c>
      <c r="G24" s="144">
        <f>IF(G18&gt;0,0,MAX(-G10,G18))</f>
        <v>0</v>
      </c>
      <c r="H24" s="144">
        <f aca="true" t="shared" si="6" ref="H24:V24">IF(H18&gt;0,0,MAX(-H10,H18))</f>
        <v>0</v>
      </c>
      <c r="I24" s="144">
        <f t="shared" si="6"/>
        <v>0</v>
      </c>
      <c r="J24" s="144">
        <f t="shared" si="6"/>
        <v>0</v>
      </c>
      <c r="K24" s="144">
        <f t="shared" si="6"/>
        <v>0</v>
      </c>
      <c r="L24" s="144">
        <f t="shared" si="6"/>
        <v>0</v>
      </c>
      <c r="M24" s="144">
        <f t="shared" si="6"/>
        <v>0</v>
      </c>
      <c r="N24" s="144">
        <f t="shared" si="6"/>
        <v>0</v>
      </c>
      <c r="O24" s="144">
        <f t="shared" si="6"/>
        <v>0</v>
      </c>
      <c r="P24" s="144">
        <f t="shared" si="6"/>
        <v>0</v>
      </c>
      <c r="Q24" s="144">
        <f t="shared" si="6"/>
        <v>0</v>
      </c>
      <c r="R24" s="144">
        <f t="shared" si="6"/>
        <v>0</v>
      </c>
      <c r="S24" s="144">
        <f t="shared" si="6"/>
        <v>0</v>
      </c>
      <c r="T24" s="144">
        <f t="shared" si="6"/>
        <v>0</v>
      </c>
      <c r="U24" s="144">
        <f t="shared" si="6"/>
        <v>0</v>
      </c>
      <c r="V24" s="144">
        <f t="shared" si="6"/>
        <v>0</v>
      </c>
      <c r="W24" s="144"/>
      <c r="X24" s="505">
        <f t="shared" si="3"/>
        <v>-577000</v>
      </c>
    </row>
    <row r="25" spans="2:24" ht="15">
      <c r="B25" s="39" t="s">
        <v>280</v>
      </c>
      <c r="C25" s="144">
        <f aca="true" t="shared" si="7" ref="C25:V25">MAX(C18+C24,0)</f>
        <v>0</v>
      </c>
      <c r="D25" s="144">
        <f t="shared" si="7"/>
        <v>0</v>
      </c>
      <c r="E25" s="144">
        <f t="shared" si="7"/>
        <v>0</v>
      </c>
      <c r="F25" s="144">
        <f t="shared" si="7"/>
        <v>0</v>
      </c>
      <c r="G25" s="144">
        <f t="shared" si="7"/>
        <v>513223.64705513744</v>
      </c>
      <c r="H25" s="144">
        <f t="shared" si="7"/>
        <v>579844.47755749</v>
      </c>
      <c r="I25" s="144">
        <f t="shared" si="7"/>
        <v>145811.1193893725</v>
      </c>
      <c r="J25" s="144">
        <f t="shared" si="7"/>
        <v>0</v>
      </c>
      <c r="K25" s="144">
        <f t="shared" si="7"/>
        <v>0</v>
      </c>
      <c r="L25" s="144">
        <f t="shared" si="7"/>
        <v>0</v>
      </c>
      <c r="M25" s="144">
        <f t="shared" si="7"/>
        <v>0</v>
      </c>
      <c r="N25" s="144">
        <f t="shared" si="7"/>
        <v>0</v>
      </c>
      <c r="O25" s="144">
        <f t="shared" si="7"/>
        <v>0</v>
      </c>
      <c r="P25" s="144">
        <f t="shared" si="7"/>
        <v>0</v>
      </c>
      <c r="Q25" s="144">
        <f t="shared" si="7"/>
        <v>0</v>
      </c>
      <c r="R25" s="144">
        <f t="shared" si="7"/>
        <v>0</v>
      </c>
      <c r="S25" s="144">
        <f t="shared" si="7"/>
        <v>0</v>
      </c>
      <c r="T25" s="144">
        <f t="shared" si="7"/>
        <v>0</v>
      </c>
      <c r="U25" s="144">
        <f t="shared" si="7"/>
        <v>0</v>
      </c>
      <c r="V25" s="144">
        <f t="shared" si="7"/>
        <v>0</v>
      </c>
      <c r="W25" s="145"/>
      <c r="X25" s="505">
        <f t="shared" si="3"/>
        <v>1238879.244002</v>
      </c>
    </row>
    <row r="26" spans="2:24" ht="15">
      <c r="B26" s="39" t="s">
        <v>281</v>
      </c>
      <c r="C26" s="144">
        <f aca="true" t="shared" si="8" ref="C26:V26">+C24+C25</f>
        <v>-427400</v>
      </c>
      <c r="D26" s="144">
        <f t="shared" si="8"/>
        <v>-64600</v>
      </c>
      <c r="E26" s="144">
        <f t="shared" si="8"/>
        <v>-51000</v>
      </c>
      <c r="F26" s="144">
        <f t="shared" si="8"/>
        <v>-34000</v>
      </c>
      <c r="G26" s="144">
        <f t="shared" si="8"/>
        <v>513223.64705513744</v>
      </c>
      <c r="H26" s="144">
        <f t="shared" si="8"/>
        <v>579844.47755749</v>
      </c>
      <c r="I26" s="144">
        <f t="shared" si="8"/>
        <v>145811.1193893725</v>
      </c>
      <c r="J26" s="144">
        <f t="shared" si="8"/>
        <v>0</v>
      </c>
      <c r="K26" s="144">
        <f t="shared" si="8"/>
        <v>0</v>
      </c>
      <c r="L26" s="144">
        <f t="shared" si="8"/>
        <v>0</v>
      </c>
      <c r="M26" s="144">
        <f t="shared" si="8"/>
        <v>0</v>
      </c>
      <c r="N26" s="144">
        <f t="shared" si="8"/>
        <v>0</v>
      </c>
      <c r="O26" s="144">
        <f t="shared" si="8"/>
        <v>0</v>
      </c>
      <c r="P26" s="144">
        <f t="shared" si="8"/>
        <v>0</v>
      </c>
      <c r="Q26" s="144">
        <f t="shared" si="8"/>
        <v>0</v>
      </c>
      <c r="R26" s="144">
        <f t="shared" si="8"/>
        <v>0</v>
      </c>
      <c r="S26" s="144">
        <f t="shared" si="8"/>
        <v>0</v>
      </c>
      <c r="T26" s="144">
        <f t="shared" si="8"/>
        <v>0</v>
      </c>
      <c r="U26" s="144">
        <f t="shared" si="8"/>
        <v>0</v>
      </c>
      <c r="V26" s="144">
        <f t="shared" si="8"/>
        <v>0</v>
      </c>
      <c r="W26" s="142"/>
      <c r="X26" s="505">
        <f t="shared" si="3"/>
        <v>661879.244002</v>
      </c>
    </row>
    <row r="27" spans="2:24" ht="15.75" thickBot="1">
      <c r="B27" s="32" t="s">
        <v>282</v>
      </c>
      <c r="C27" s="147">
        <f>C26</f>
        <v>-427400</v>
      </c>
      <c r="D27" s="147">
        <f>C27+D26</f>
        <v>-492000</v>
      </c>
      <c r="E27" s="147">
        <f aca="true" t="shared" si="9" ref="E27:V27">D27+E26</f>
        <v>-543000</v>
      </c>
      <c r="F27" s="147">
        <f t="shared" si="9"/>
        <v>-577000</v>
      </c>
      <c r="G27" s="147">
        <f t="shared" si="9"/>
        <v>-63776.35294486256</v>
      </c>
      <c r="H27" s="147">
        <f t="shared" si="9"/>
        <v>516068.12461262743</v>
      </c>
      <c r="I27" s="147">
        <f t="shared" si="9"/>
        <v>661879.244002</v>
      </c>
      <c r="J27" s="147">
        <f t="shared" si="9"/>
        <v>661879.244002</v>
      </c>
      <c r="K27" s="147">
        <f t="shared" si="9"/>
        <v>661879.244002</v>
      </c>
      <c r="L27" s="147">
        <f t="shared" si="9"/>
        <v>661879.244002</v>
      </c>
      <c r="M27" s="147">
        <f t="shared" si="9"/>
        <v>661879.244002</v>
      </c>
      <c r="N27" s="147">
        <f t="shared" si="9"/>
        <v>661879.244002</v>
      </c>
      <c r="O27" s="147">
        <f t="shared" si="9"/>
        <v>661879.244002</v>
      </c>
      <c r="P27" s="147">
        <f t="shared" si="9"/>
        <v>661879.244002</v>
      </c>
      <c r="Q27" s="147">
        <f t="shared" si="9"/>
        <v>661879.244002</v>
      </c>
      <c r="R27" s="147">
        <f t="shared" si="9"/>
        <v>661879.244002</v>
      </c>
      <c r="S27" s="147">
        <f t="shared" si="9"/>
        <v>661879.244002</v>
      </c>
      <c r="T27" s="147">
        <f t="shared" si="9"/>
        <v>661879.244002</v>
      </c>
      <c r="U27" s="147">
        <f t="shared" si="9"/>
        <v>661879.244002</v>
      </c>
      <c r="V27" s="147">
        <f t="shared" si="9"/>
        <v>661879.244002</v>
      </c>
      <c r="W27" s="148"/>
      <c r="X27" s="148"/>
    </row>
    <row r="28" ht="15">
      <c r="B28" s="506" t="s">
        <v>294</v>
      </c>
    </row>
    <row r="29" ht="15">
      <c r="C29" s="93"/>
    </row>
    <row r="30" spans="3:9" ht="15">
      <c r="C30" s="93"/>
      <c r="I30" s="93"/>
    </row>
    <row r="31" ht="15">
      <c r="C31" s="93"/>
    </row>
    <row r="32" ht="15">
      <c r="C32" s="93"/>
    </row>
    <row r="33" ht="15">
      <c r="C33" s="93"/>
    </row>
    <row r="34" ht="15">
      <c r="C34" s="93"/>
    </row>
    <row r="35" ht="15">
      <c r="C35" s="93"/>
    </row>
  </sheetData>
  <sheetProtection password="CFB3" sheet="1"/>
  <printOptions/>
  <pageMargins left="0.75" right="0.75" top="1" bottom="1"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sheetPr codeName="Sheet11">
    <tabColor theme="9" tint="0.7999799847602844"/>
  </sheetPr>
  <dimension ref="B3:Y75"/>
  <sheetViews>
    <sheetView zoomScale="90" zoomScaleNormal="90" zoomScalePageLayoutView="0" workbookViewId="0" topLeftCell="H2">
      <selection activeCell="V30" sqref="V30"/>
    </sheetView>
  </sheetViews>
  <sheetFormatPr defaultColWidth="10.28125" defaultRowHeight="15"/>
  <cols>
    <col min="1" max="1" width="7.28125" style="76" customWidth="1"/>
    <col min="2" max="2" width="45.28125" style="76" customWidth="1"/>
    <col min="3" max="22" width="13.28125" style="76" customWidth="1"/>
    <col min="23" max="23" width="4.7109375" style="76" customWidth="1"/>
    <col min="24" max="24" width="13.421875" style="76" customWidth="1"/>
    <col min="25" max="16384" width="10.28125" style="76" customWidth="1"/>
  </cols>
  <sheetData>
    <row r="2" ht="15.75" thickBot="1"/>
    <row r="3" spans="2:24" ht="15.75" thickBot="1">
      <c r="B3" s="59" t="s">
        <v>4</v>
      </c>
      <c r="C3" s="46">
        <v>1</v>
      </c>
      <c r="D3" s="46">
        <f>C3+1</f>
        <v>2</v>
      </c>
      <c r="E3" s="46">
        <f aca="true" t="shared" si="0" ref="E3:V3">D3+1</f>
        <v>3</v>
      </c>
      <c r="F3" s="46">
        <f t="shared" si="0"/>
        <v>4</v>
      </c>
      <c r="G3" s="46">
        <f t="shared" si="0"/>
        <v>5</v>
      </c>
      <c r="H3" s="46">
        <f t="shared" si="0"/>
        <v>6</v>
      </c>
      <c r="I3" s="46">
        <f t="shared" si="0"/>
        <v>7</v>
      </c>
      <c r="J3" s="46">
        <f t="shared" si="0"/>
        <v>8</v>
      </c>
      <c r="K3" s="46">
        <f t="shared" si="0"/>
        <v>9</v>
      </c>
      <c r="L3" s="46">
        <f t="shared" si="0"/>
        <v>10</v>
      </c>
      <c r="M3" s="46">
        <f t="shared" si="0"/>
        <v>11</v>
      </c>
      <c r="N3" s="46">
        <f t="shared" si="0"/>
        <v>12</v>
      </c>
      <c r="O3" s="46">
        <f t="shared" si="0"/>
        <v>13</v>
      </c>
      <c r="P3" s="46">
        <f t="shared" si="0"/>
        <v>14</v>
      </c>
      <c r="Q3" s="46">
        <f t="shared" si="0"/>
        <v>15</v>
      </c>
      <c r="R3" s="46">
        <f t="shared" si="0"/>
        <v>16</v>
      </c>
      <c r="S3" s="46">
        <f t="shared" si="0"/>
        <v>17</v>
      </c>
      <c r="T3" s="46">
        <f t="shared" si="0"/>
        <v>18</v>
      </c>
      <c r="U3" s="46">
        <f t="shared" si="0"/>
        <v>19</v>
      </c>
      <c r="V3" s="46">
        <f t="shared" si="0"/>
        <v>20</v>
      </c>
      <c r="W3" s="47"/>
      <c r="X3" s="489" t="s">
        <v>283</v>
      </c>
    </row>
    <row r="4" spans="2:24" ht="15">
      <c r="B4" s="10"/>
      <c r="C4" s="141"/>
      <c r="D4" s="141"/>
      <c r="E4" s="141"/>
      <c r="F4" s="141"/>
      <c r="G4" s="141"/>
      <c r="H4" s="141"/>
      <c r="I4" s="141"/>
      <c r="J4" s="141"/>
      <c r="K4" s="141"/>
      <c r="L4" s="141"/>
      <c r="M4" s="141"/>
      <c r="N4" s="141"/>
      <c r="O4" s="141"/>
      <c r="P4" s="141"/>
      <c r="Q4" s="141"/>
      <c r="R4" s="141"/>
      <c r="S4" s="141"/>
      <c r="T4" s="141"/>
      <c r="U4" s="141"/>
      <c r="V4" s="141"/>
      <c r="W4" s="142"/>
      <c r="X4" s="142"/>
    </row>
    <row r="5" spans="2:24" ht="15">
      <c r="B5" s="10" t="s">
        <v>168</v>
      </c>
      <c r="C5" s="141"/>
      <c r="D5" s="141"/>
      <c r="E5" s="141"/>
      <c r="F5" s="141"/>
      <c r="G5" s="141"/>
      <c r="H5" s="141"/>
      <c r="I5" s="141"/>
      <c r="J5" s="141"/>
      <c r="K5" s="141"/>
      <c r="L5" s="141"/>
      <c r="M5" s="141"/>
      <c r="N5" s="141"/>
      <c r="O5" s="141"/>
      <c r="P5" s="141"/>
      <c r="Q5" s="141"/>
      <c r="R5" s="141"/>
      <c r="S5" s="141"/>
      <c r="T5" s="141"/>
      <c r="U5" s="141"/>
      <c r="V5" s="141"/>
      <c r="W5" s="142"/>
      <c r="X5" s="142"/>
    </row>
    <row r="6" spans="2:24" ht="15">
      <c r="B6" s="39" t="s">
        <v>36</v>
      </c>
      <c r="C6" s="144">
        <f ca="1">OFFSET('A&amp;D Calculations'!$F$54,C3-1,0,,)</f>
        <v>0</v>
      </c>
      <c r="D6" s="144">
        <f ca="1">OFFSET('A&amp;D Calculations'!$F$54,D3-1,0,,)</f>
        <v>150679.33239948776</v>
      </c>
      <c r="E6" s="144">
        <f ca="1">OFFSET('A&amp;D Calculations'!$F$54,E3-1,0,,)</f>
        <v>602717.329597951</v>
      </c>
      <c r="F6" s="144">
        <f ca="1">OFFSET('A&amp;D Calculations'!$F$54,F3-1,0,,)</f>
        <v>753396.6619974388</v>
      </c>
      <c r="G6" s="144">
        <f ca="1">OFFSET('A&amp;D Calculations'!$F$54,G3-1,0,,)</f>
        <v>753396.6619974388</v>
      </c>
      <c r="H6" s="144">
        <f ca="1">OFFSET('A&amp;D Calculations'!$F$54,H3-1,0,,)</f>
        <v>602717.329597951</v>
      </c>
      <c r="I6" s="144">
        <f ca="1">OFFSET('A&amp;D Calculations'!$F$54,I3-1,0,,)</f>
        <v>150679.33239948776</v>
      </c>
      <c r="J6" s="144">
        <f ca="1">OFFSET('A&amp;D Calculations'!$F$54,J3-1,0,,)</f>
        <v>0</v>
      </c>
      <c r="K6" s="144">
        <f ca="1">OFFSET('A&amp;D Calculations'!$F$54,K3-1,0,,)</f>
        <v>0</v>
      </c>
      <c r="L6" s="144">
        <f ca="1">OFFSET('A&amp;D Calculations'!$F$54,L3-1,0,,)</f>
        <v>0</v>
      </c>
      <c r="M6" s="144">
        <f ca="1">OFFSET('A&amp;D Calculations'!$F$54,M3-1,0,,)</f>
        <v>0</v>
      </c>
      <c r="N6" s="144">
        <f ca="1">OFFSET('A&amp;D Calculations'!$F$54,N3-1,0,,)</f>
        <v>0</v>
      </c>
      <c r="O6" s="144">
        <f ca="1">OFFSET('A&amp;D Calculations'!$F$54,O3-1,0,,)</f>
        <v>0</v>
      </c>
      <c r="P6" s="144">
        <f ca="1">OFFSET('A&amp;D Calculations'!$F$54,P3-1,0,,)</f>
        <v>0</v>
      </c>
      <c r="Q6" s="144">
        <f ca="1">OFFSET('A&amp;D Calculations'!$F$54,Q3-1,0,,)</f>
        <v>0</v>
      </c>
      <c r="R6" s="144">
        <f ca="1">OFFSET('A&amp;D Calculations'!$F$54,R3-1,0,,)</f>
        <v>0</v>
      </c>
      <c r="S6" s="144">
        <f ca="1">OFFSET('A&amp;D Calculations'!$F$54,S3-1,0,,)</f>
        <v>0</v>
      </c>
      <c r="T6" s="144">
        <f ca="1">OFFSET('A&amp;D Calculations'!$F$54,T3-1,0,,)</f>
        <v>0</v>
      </c>
      <c r="U6" s="144">
        <f ca="1">OFFSET('A&amp;D Calculations'!$F$54,U3-1,0,,)</f>
        <v>0</v>
      </c>
      <c r="V6" s="144">
        <f ca="1">OFFSET('A&amp;D Calculations'!$F$54,V3-1,0,,)</f>
        <v>0</v>
      </c>
      <c r="W6" s="143"/>
      <c r="X6" s="143">
        <f>SUM(C6:W6)</f>
        <v>3013586.647989755</v>
      </c>
    </row>
    <row r="7" spans="2:24" ht="15">
      <c r="B7" s="39"/>
      <c r="C7" s="144"/>
      <c r="D7" s="144"/>
      <c r="E7" s="144"/>
      <c r="F7" s="144"/>
      <c r="G7" s="144"/>
      <c r="H7" s="144"/>
      <c r="I7" s="144"/>
      <c r="J7" s="144"/>
      <c r="K7" s="144"/>
      <c r="L7" s="144"/>
      <c r="M7" s="144"/>
      <c r="N7" s="144"/>
      <c r="O7" s="144"/>
      <c r="P7" s="144"/>
      <c r="Q7" s="144"/>
      <c r="R7" s="144"/>
      <c r="S7" s="144"/>
      <c r="T7" s="144"/>
      <c r="U7" s="144"/>
      <c r="V7" s="144"/>
      <c r="W7" s="143"/>
      <c r="X7" s="143"/>
    </row>
    <row r="8" spans="2:24" ht="15">
      <c r="B8" s="10" t="s">
        <v>169</v>
      </c>
      <c r="C8" s="141"/>
      <c r="D8" s="141"/>
      <c r="E8" s="141"/>
      <c r="F8" s="141"/>
      <c r="G8" s="141"/>
      <c r="H8" s="141"/>
      <c r="I8" s="141"/>
      <c r="J8" s="141"/>
      <c r="K8" s="141"/>
      <c r="L8" s="141"/>
      <c r="M8" s="141"/>
      <c r="N8" s="141"/>
      <c r="O8" s="141"/>
      <c r="P8" s="141"/>
      <c r="Q8" s="141"/>
      <c r="R8" s="141"/>
      <c r="S8" s="141"/>
      <c r="T8" s="141"/>
      <c r="U8" s="141"/>
      <c r="V8" s="141"/>
      <c r="W8" s="142"/>
      <c r="X8" s="142"/>
    </row>
    <row r="9" spans="2:24" ht="15">
      <c r="B9" s="39" t="s">
        <v>173</v>
      </c>
      <c r="C9" s="144">
        <f ca="1">SUM(OFFSET('A&amp;D Calculations'!$C$54,C3-1,0,,),OFFSET('A&amp;D Calculations'!$D$54,C3-1,0,,))</f>
        <v>1160250</v>
      </c>
      <c r="D9" s="144">
        <f ca="1">SUM(OFFSET('A&amp;D Calculations'!$C$54,D3-1,0,,),OFFSET('A&amp;D Calculations'!$D$54,D3-1,0,,))</f>
        <v>624750</v>
      </c>
      <c r="E9" s="144">
        <f ca="1">SUM(OFFSET('A&amp;D Calculations'!$C$54,E3-1,0,,),OFFSET('A&amp;D Calculations'!$D$54,E3-1,0,,))</f>
        <v>0</v>
      </c>
      <c r="F9" s="144">
        <f ca="1">SUM(OFFSET('A&amp;D Calculations'!$C$54,F3-1,0,,),OFFSET('A&amp;D Calculations'!$D$54,F3-1,0,,))</f>
        <v>0</v>
      </c>
      <c r="G9" s="144">
        <f ca="1">SUM(OFFSET('A&amp;D Calculations'!$C$54,G3-1,0,,),OFFSET('A&amp;D Calculations'!$D$54,G3-1,0,,))</f>
        <v>0</v>
      </c>
      <c r="H9" s="144">
        <f ca="1">SUM(OFFSET('A&amp;D Calculations'!$C$54,H3-1,0,,),OFFSET('A&amp;D Calculations'!$D$54,H3-1,0,,))</f>
        <v>0</v>
      </c>
      <c r="I9" s="144">
        <f ca="1">SUM(OFFSET('A&amp;D Calculations'!$C$54,I3-1,0,,),OFFSET('A&amp;D Calculations'!$D$54,I3-1,0,,))</f>
        <v>0</v>
      </c>
      <c r="J9" s="144">
        <f ca="1">SUM(OFFSET('A&amp;D Calculations'!$C$54,J3-1,0,,),OFFSET('A&amp;D Calculations'!$D$54,J3-1,0,,))</f>
        <v>0</v>
      </c>
      <c r="K9" s="144">
        <f ca="1">SUM(OFFSET('A&amp;D Calculations'!$C$54,K3-1,0,,),OFFSET('A&amp;D Calculations'!$D$54,K3-1,0,,))</f>
        <v>0</v>
      </c>
      <c r="L9" s="144">
        <f ca="1">SUM(OFFSET('A&amp;D Calculations'!$C$54,L3-1,0,,),OFFSET('A&amp;D Calculations'!$D$54,L3-1,0,,))</f>
        <v>0</v>
      </c>
      <c r="M9" s="144">
        <f ca="1">SUM(OFFSET('A&amp;D Calculations'!$C$54,M3-1,0,,),OFFSET('A&amp;D Calculations'!$D$54,M3-1,0,,))</f>
        <v>0</v>
      </c>
      <c r="N9" s="144">
        <f ca="1">SUM(OFFSET('A&amp;D Calculations'!$C$54,N3-1,0,,),OFFSET('A&amp;D Calculations'!$D$54,N3-1,0,,))</f>
        <v>0</v>
      </c>
      <c r="O9" s="144">
        <f ca="1">SUM(OFFSET('A&amp;D Calculations'!$C$54,O3-1,0,,),OFFSET('A&amp;D Calculations'!$D$54,O3-1,0,,))</f>
        <v>0</v>
      </c>
      <c r="P9" s="144">
        <f ca="1">SUM(OFFSET('A&amp;D Calculations'!$C$54,P3-1,0,,),OFFSET('A&amp;D Calculations'!$D$54,P3-1,0,,))</f>
        <v>0</v>
      </c>
      <c r="Q9" s="144">
        <f ca="1">SUM(OFFSET('A&amp;D Calculations'!$C$54,Q3-1,0,,),OFFSET('A&amp;D Calculations'!$D$54,Q3-1,0,,))</f>
        <v>0</v>
      </c>
      <c r="R9" s="144">
        <f ca="1">SUM(OFFSET('A&amp;D Calculations'!$C$54,R3-1,0,,),OFFSET('A&amp;D Calculations'!$D$54,R3-1,0,,))</f>
        <v>0</v>
      </c>
      <c r="S9" s="144">
        <f ca="1">SUM(OFFSET('A&amp;D Calculations'!$C$54,S3-1,0,,),OFFSET('A&amp;D Calculations'!$D$54,S3-1,0,,))</f>
        <v>0</v>
      </c>
      <c r="T9" s="144">
        <f ca="1">SUM(OFFSET('A&amp;D Calculations'!$C$54,T3-1,0,,),OFFSET('A&amp;D Calculations'!$D$54,T3-1,0,,))</f>
        <v>0</v>
      </c>
      <c r="U9" s="144">
        <f ca="1">SUM(OFFSET('A&amp;D Calculations'!$C$54,U3-1,0,,),OFFSET('A&amp;D Calculations'!$D$54,U3-1,0,,))</f>
        <v>0</v>
      </c>
      <c r="V9" s="144">
        <f ca="1">SUM(OFFSET('A&amp;D Calculations'!$C$54,V3-1,0,,),OFFSET('A&amp;D Calculations'!$D$54,V3-1,0,,))</f>
        <v>0</v>
      </c>
      <c r="W9" s="143"/>
      <c r="X9" s="143">
        <f>SUM(C9:W9)</f>
        <v>1785000</v>
      </c>
    </row>
    <row r="10" spans="2:24" ht="15">
      <c r="B10" s="39" t="s">
        <v>50</v>
      </c>
      <c r="C10" s="144">
        <f ca="1">OFFSET('A&amp;D Calculations'!$L$54,C3-1,0,,)</f>
        <v>90000</v>
      </c>
      <c r="D10" s="144">
        <f ca="1">OFFSET('A&amp;D Calculations'!$L$54,D3-1,0,,)</f>
        <v>85500</v>
      </c>
      <c r="E10" s="144">
        <f ca="1">OFFSET('A&amp;D Calculations'!$L$54,E3-1,0,,)</f>
        <v>67500</v>
      </c>
      <c r="F10" s="144">
        <f ca="1">OFFSET('A&amp;D Calculations'!$L$54,F3-1,0,,)</f>
        <v>45000</v>
      </c>
      <c r="G10" s="144">
        <f ca="1">OFFSET('A&amp;D Calculations'!$L$54,G3-1,0,,)</f>
        <v>22500</v>
      </c>
      <c r="H10" s="144">
        <f ca="1">OFFSET('A&amp;D Calculations'!$L$54,H3-1,0,,)</f>
        <v>4500.000000000004</v>
      </c>
      <c r="I10" s="144">
        <f ca="1">OFFSET('A&amp;D Calculations'!$L$54,I3-1,0,,)</f>
        <v>0</v>
      </c>
      <c r="J10" s="144">
        <f ca="1">OFFSET('A&amp;D Calculations'!$L$54,J3-1,0,,)</f>
        <v>0</v>
      </c>
      <c r="K10" s="144">
        <f ca="1">OFFSET('A&amp;D Calculations'!$L$54,K3-1,0,,)</f>
        <v>0</v>
      </c>
      <c r="L10" s="144">
        <f ca="1">OFFSET('A&amp;D Calculations'!$L$54,L3-1,0,,)</f>
        <v>0</v>
      </c>
      <c r="M10" s="144">
        <f ca="1">OFFSET('A&amp;D Calculations'!$L$54,M3-1,0,,)</f>
        <v>0</v>
      </c>
      <c r="N10" s="144">
        <f ca="1">OFFSET('A&amp;D Calculations'!$L$54,N3-1,0,,)</f>
        <v>0</v>
      </c>
      <c r="O10" s="144">
        <f ca="1">OFFSET('A&amp;D Calculations'!$L$54,O3-1,0,,)</f>
        <v>0</v>
      </c>
      <c r="P10" s="144">
        <f ca="1">OFFSET('A&amp;D Calculations'!$L$54,P3-1,0,,)</f>
        <v>0</v>
      </c>
      <c r="Q10" s="144">
        <f ca="1">OFFSET('A&amp;D Calculations'!$L$54,Q3-1,0,,)</f>
        <v>0</v>
      </c>
      <c r="R10" s="144">
        <f ca="1">OFFSET('A&amp;D Calculations'!$L$54,R3-1,0,,)</f>
        <v>0</v>
      </c>
      <c r="S10" s="144">
        <f ca="1">OFFSET('A&amp;D Calculations'!$L$54,S3-1,0,,)</f>
        <v>0</v>
      </c>
      <c r="T10" s="144">
        <f ca="1">OFFSET('A&amp;D Calculations'!$L$54,T3-1,0,,)</f>
        <v>0</v>
      </c>
      <c r="U10" s="144">
        <f ca="1">OFFSET('A&amp;D Calculations'!$L$54,U3-1,0,,)</f>
        <v>0</v>
      </c>
      <c r="V10" s="144">
        <f ca="1">OFFSET('A&amp;D Calculations'!$L$54,V3-1,0,,)</f>
        <v>0</v>
      </c>
      <c r="W10" s="143"/>
      <c r="X10" s="143">
        <f>SUM(C10:W10)</f>
        <v>315000</v>
      </c>
    </row>
    <row r="11" spans="2:25" ht="15">
      <c r="B11" s="39"/>
      <c r="C11" s="144"/>
      <c r="D11" s="144"/>
      <c r="E11" s="144"/>
      <c r="F11" s="144"/>
      <c r="G11" s="144"/>
      <c r="H11" s="144"/>
      <c r="I11" s="144"/>
      <c r="J11" s="144"/>
      <c r="K11" s="144"/>
      <c r="L11" s="144"/>
      <c r="M11" s="144"/>
      <c r="N11" s="144"/>
      <c r="O11" s="144"/>
      <c r="P11" s="144"/>
      <c r="Q11" s="144"/>
      <c r="R11" s="144"/>
      <c r="S11" s="144"/>
      <c r="T11" s="144"/>
      <c r="U11" s="144"/>
      <c r="V11" s="144"/>
      <c r="W11" s="142"/>
      <c r="X11" s="142"/>
      <c r="Y11" s="153"/>
    </row>
    <row r="12" spans="2:24" ht="15">
      <c r="B12" s="10" t="s">
        <v>171</v>
      </c>
      <c r="C12" s="141"/>
      <c r="D12" s="141"/>
      <c r="E12" s="141"/>
      <c r="F12" s="141"/>
      <c r="G12" s="141"/>
      <c r="H12" s="141"/>
      <c r="I12" s="141"/>
      <c r="J12" s="141"/>
      <c r="K12" s="141"/>
      <c r="L12" s="141"/>
      <c r="M12" s="141"/>
      <c r="N12" s="141"/>
      <c r="O12" s="141"/>
      <c r="P12" s="141"/>
      <c r="Q12" s="141"/>
      <c r="R12" s="141"/>
      <c r="S12" s="141"/>
      <c r="T12" s="141"/>
      <c r="U12" s="141"/>
      <c r="V12" s="141"/>
      <c r="W12" s="142"/>
      <c r="X12" s="142"/>
    </row>
    <row r="13" spans="2:24" ht="15">
      <c r="B13" s="39" t="s">
        <v>38</v>
      </c>
      <c r="C13" s="139">
        <f ca="1">OFFSET('A&amp;D Calculations'!$C$54,C3-1,0,,)</f>
        <v>936000</v>
      </c>
      <c r="D13" s="139">
        <f ca="1">OFFSET('A&amp;D Calculations'!$C$54,D3-1,0,,)</f>
        <v>504000</v>
      </c>
      <c r="E13" s="139">
        <f ca="1">OFFSET('A&amp;D Calculations'!$C$54,E3-1,0,,)</f>
        <v>0</v>
      </c>
      <c r="F13" s="139">
        <f ca="1">OFFSET('A&amp;D Calculations'!$C$54,F3-1,0,,)</f>
        <v>0</v>
      </c>
      <c r="G13" s="139">
        <f ca="1">OFFSET('A&amp;D Calculations'!$C$54,G3-1,0,,)</f>
        <v>0</v>
      </c>
      <c r="H13" s="139">
        <f ca="1">OFFSET('A&amp;D Calculations'!$C$54,H3-1,0,,)</f>
        <v>0</v>
      </c>
      <c r="I13" s="139">
        <f ca="1">OFFSET('A&amp;D Calculations'!$C$54,I3-1,0,,)</f>
        <v>0</v>
      </c>
      <c r="J13" s="139">
        <f ca="1">OFFSET('A&amp;D Calculations'!$C$54,J3-1,0,,)</f>
        <v>0</v>
      </c>
      <c r="K13" s="139">
        <f ca="1">OFFSET('A&amp;D Calculations'!$C$54,K3-1,0,,)</f>
        <v>0</v>
      </c>
      <c r="L13" s="139">
        <f ca="1">OFFSET('A&amp;D Calculations'!$C$54,L3-1,0,,)</f>
        <v>0</v>
      </c>
      <c r="M13" s="139">
        <f ca="1">OFFSET('A&amp;D Calculations'!$C$54,M3-1,0,,)</f>
        <v>0</v>
      </c>
      <c r="N13" s="139">
        <f ca="1">OFFSET('A&amp;D Calculations'!$C$54,N3-1,0,,)</f>
        <v>0</v>
      </c>
      <c r="O13" s="139">
        <f ca="1">OFFSET('A&amp;D Calculations'!$C$54,O3-1,0,,)</f>
        <v>0</v>
      </c>
      <c r="P13" s="139">
        <f ca="1">OFFSET('A&amp;D Calculations'!$C$54,P3-1,0,,)</f>
        <v>0</v>
      </c>
      <c r="Q13" s="139">
        <f ca="1">OFFSET('A&amp;D Calculations'!$C$54,Q3-1,0,,)</f>
        <v>0</v>
      </c>
      <c r="R13" s="139">
        <f ca="1">OFFSET('A&amp;D Calculations'!$C$54,R3-1,0,,)</f>
        <v>0</v>
      </c>
      <c r="S13" s="139">
        <f ca="1">OFFSET('A&amp;D Calculations'!$C$54,S3-1,0,,)</f>
        <v>0</v>
      </c>
      <c r="T13" s="139">
        <f ca="1">OFFSET('A&amp;D Calculations'!$C$54,T3-1,0,,)</f>
        <v>0</v>
      </c>
      <c r="U13" s="139">
        <f ca="1">OFFSET('A&amp;D Calculations'!$C$54,U3-1,0,,)</f>
        <v>0</v>
      </c>
      <c r="V13" s="139">
        <f ca="1">OFFSET('A&amp;D Calculations'!$C$54,V3-1,0,,)</f>
        <v>0</v>
      </c>
      <c r="W13" s="145"/>
      <c r="X13" s="143">
        <f>SUM(C13:W13)</f>
        <v>1440000</v>
      </c>
    </row>
    <row r="14" spans="2:24" ht="15">
      <c r="B14" s="39" t="s">
        <v>102</v>
      </c>
      <c r="C14" s="139">
        <f ca="1">OFFSET('A&amp;D Calculations'!$M$54,C3-1,0,,)</f>
        <v>14400</v>
      </c>
      <c r="D14" s="139">
        <f ca="1">OFFSET('A&amp;D Calculations'!$M$54,D3-1,0,,)</f>
        <v>0</v>
      </c>
      <c r="E14" s="139">
        <f ca="1">OFFSET('A&amp;D Calculations'!$M$54,E3-1,0,,)</f>
        <v>0</v>
      </c>
      <c r="F14" s="139">
        <f ca="1">OFFSET('A&amp;D Calculations'!$M$54,F3-1,0,,)</f>
        <v>0</v>
      </c>
      <c r="G14" s="139">
        <f ca="1">OFFSET('A&amp;D Calculations'!$M$54,G3-1,0,,)</f>
        <v>0</v>
      </c>
      <c r="H14" s="139">
        <f ca="1">OFFSET('A&amp;D Calculations'!$M$54,H3-1,0,,)</f>
        <v>0</v>
      </c>
      <c r="I14" s="139">
        <f ca="1">OFFSET('A&amp;D Calculations'!$M$54,I3-1,0,,)</f>
        <v>0</v>
      </c>
      <c r="J14" s="139">
        <f ca="1">OFFSET('A&amp;D Calculations'!$M$54,J3-1,0,,)</f>
        <v>0</v>
      </c>
      <c r="K14" s="139">
        <f ca="1">OFFSET('A&amp;D Calculations'!$M$54,K3-1,0,,)</f>
        <v>0</v>
      </c>
      <c r="L14" s="139">
        <f ca="1">OFFSET('A&amp;D Calculations'!$M$54,L3-1,0,,)</f>
        <v>0</v>
      </c>
      <c r="M14" s="139">
        <f ca="1">OFFSET('A&amp;D Calculations'!$M$54,M3-1,0,,)</f>
        <v>0</v>
      </c>
      <c r="N14" s="139">
        <f ca="1">OFFSET('A&amp;D Calculations'!$M$54,N3-1,0,,)</f>
        <v>0</v>
      </c>
      <c r="O14" s="139">
        <f ca="1">OFFSET('A&amp;D Calculations'!$M$54,O3-1,0,,)</f>
        <v>0</v>
      </c>
      <c r="P14" s="139">
        <f ca="1">OFFSET('A&amp;D Calculations'!$M$54,P3-1,0,,)</f>
        <v>0</v>
      </c>
      <c r="Q14" s="139">
        <f ca="1">OFFSET('A&amp;D Calculations'!$M$54,Q3-1,0,,)</f>
        <v>0</v>
      </c>
      <c r="R14" s="139">
        <f ca="1">OFFSET('A&amp;D Calculations'!$M$54,R3-1,0,,)</f>
        <v>0</v>
      </c>
      <c r="S14" s="139">
        <f ca="1">OFFSET('A&amp;D Calculations'!$M$54,S3-1,0,,)</f>
        <v>0</v>
      </c>
      <c r="T14" s="139">
        <f ca="1">OFFSET('A&amp;D Calculations'!$M$54,T3-1,0,,)</f>
        <v>0</v>
      </c>
      <c r="U14" s="139">
        <f ca="1">OFFSET('A&amp;D Calculations'!$M$54,U3-1,0,,)</f>
        <v>0</v>
      </c>
      <c r="V14" s="139">
        <f ca="1">OFFSET('A&amp;D Calculations'!$M$54,V3-1,0,,)</f>
        <v>0</v>
      </c>
      <c r="W14" s="142"/>
      <c r="X14" s="143">
        <f>SUM(C14:W14)</f>
        <v>14400</v>
      </c>
    </row>
    <row r="15" spans="2:24" ht="15">
      <c r="B15" s="39" t="s">
        <v>39</v>
      </c>
      <c r="C15" s="139">
        <f ca="1">OFFSET('A&amp;D Calculations'!$H$54,C3-1,0,,)</f>
        <v>0</v>
      </c>
      <c r="D15" s="139">
        <f ca="1">OFFSET('A&amp;D Calculations'!$H$54,D3-1,0,,)</f>
        <v>89839.33239948776</v>
      </c>
      <c r="E15" s="139">
        <f ca="1">OFFSET('A&amp;D Calculations'!$H$54,E3-1,0,,)</f>
        <v>514956.88620391773</v>
      </c>
      <c r="F15" s="139">
        <f ca="1">OFFSET('A&amp;D Calculations'!$H$54,F3-1,0,,)</f>
        <v>699108.4162066601</v>
      </c>
      <c r="G15" s="139">
        <f ca="1">OFFSET('A&amp;D Calculations'!$H$54,G3-1,0,,)</f>
        <v>136095.3651899345</v>
      </c>
      <c r="H15" s="139">
        <f ca="1">OFFSET('A&amp;D Calculations'!$H$54,H3-1,0,,)</f>
        <v>0</v>
      </c>
      <c r="I15" s="139">
        <f ca="1">OFFSET('A&amp;D Calculations'!$H$54,I3-1,0,,)</f>
        <v>0</v>
      </c>
      <c r="J15" s="139">
        <f ca="1">OFFSET('A&amp;D Calculations'!$H$54,J3-1,0,,)</f>
        <v>0</v>
      </c>
      <c r="K15" s="139">
        <f ca="1">OFFSET('A&amp;D Calculations'!$H$54,K3-1,0,,)</f>
        <v>0</v>
      </c>
      <c r="L15" s="139">
        <f ca="1">OFFSET('A&amp;D Calculations'!$H$54,L3-1,0,,)</f>
        <v>0</v>
      </c>
      <c r="M15" s="139">
        <f ca="1">OFFSET('A&amp;D Calculations'!$H$54,M3-1,0,,)</f>
        <v>0</v>
      </c>
      <c r="N15" s="139">
        <f ca="1">OFFSET('A&amp;D Calculations'!$H$54,N3-1,0,,)</f>
        <v>0</v>
      </c>
      <c r="O15" s="139">
        <f ca="1">OFFSET('A&amp;D Calculations'!$H$54,O3-1,0,,)</f>
        <v>0</v>
      </c>
      <c r="P15" s="139">
        <f ca="1">OFFSET('A&amp;D Calculations'!$H$54,P3-1,0,,)</f>
        <v>0</v>
      </c>
      <c r="Q15" s="139">
        <f ca="1">OFFSET('A&amp;D Calculations'!$H$54,Q3-1,0,,)</f>
        <v>0</v>
      </c>
      <c r="R15" s="139">
        <f ca="1">OFFSET('A&amp;D Calculations'!$H$54,R3-1,0,,)</f>
        <v>0</v>
      </c>
      <c r="S15" s="139">
        <f ca="1">OFFSET('A&amp;D Calculations'!$H$54,S3-1,0,,)</f>
        <v>0</v>
      </c>
      <c r="T15" s="139">
        <f ca="1">OFFSET('A&amp;D Calculations'!$H$54,T3-1,0,,)</f>
        <v>0</v>
      </c>
      <c r="U15" s="139">
        <f ca="1">OFFSET('A&amp;D Calculations'!$H$54,U3-1,0,,)</f>
        <v>0</v>
      </c>
      <c r="V15" s="139">
        <f ca="1">OFFSET('A&amp;D Calculations'!$H$54,V3-1,0,,)</f>
        <v>0</v>
      </c>
      <c r="W15" s="145"/>
      <c r="X15" s="143">
        <f>SUM(C15:W15)</f>
        <v>1440000</v>
      </c>
    </row>
    <row r="16" spans="2:24" ht="15">
      <c r="B16" s="39" t="s">
        <v>174</v>
      </c>
      <c r="C16" s="139">
        <f ca="1">OFFSET('A&amp;D Calculations'!$G$54,C3-1,0,,)</f>
        <v>0</v>
      </c>
      <c r="D16" s="139">
        <f ca="1">OFFSET('A&amp;D Calculations'!$G$54,D3-1,0,,)</f>
        <v>60840</v>
      </c>
      <c r="E16" s="139">
        <f ca="1">OFFSET('A&amp;D Calculations'!$G$54,E3-1,0,,)</f>
        <v>87760.4433940333</v>
      </c>
      <c r="F16" s="139">
        <f ca="1">OFFSET('A&amp;D Calculations'!$G$54,F3-1,0,,)</f>
        <v>54288.24579077866</v>
      </c>
      <c r="G16" s="139">
        <f ca="1">OFFSET('A&amp;D Calculations'!$G$54,G3-1,0,,)</f>
        <v>8846.198737345745</v>
      </c>
      <c r="H16" s="139">
        <f ca="1">OFFSET('A&amp;D Calculations'!$G$54,H3-1,0,,)</f>
        <v>0</v>
      </c>
      <c r="I16" s="139">
        <f ca="1">OFFSET('A&amp;D Calculations'!$G$54,I3-1,0,,)</f>
        <v>0</v>
      </c>
      <c r="J16" s="139">
        <f ca="1">OFFSET('A&amp;D Calculations'!$G$54,J3-1,0,,)</f>
        <v>0</v>
      </c>
      <c r="K16" s="139">
        <f ca="1">OFFSET('A&amp;D Calculations'!$G$54,K3-1,0,,)</f>
        <v>0</v>
      </c>
      <c r="L16" s="139">
        <f ca="1">OFFSET('A&amp;D Calculations'!$G$54,L3-1,0,,)</f>
        <v>0</v>
      </c>
      <c r="M16" s="139">
        <f ca="1">OFFSET('A&amp;D Calculations'!$G$54,M3-1,0,,)</f>
        <v>0</v>
      </c>
      <c r="N16" s="139">
        <f ca="1">OFFSET('A&amp;D Calculations'!$G$54,N3-1,0,,)</f>
        <v>0</v>
      </c>
      <c r="O16" s="139">
        <f ca="1">OFFSET('A&amp;D Calculations'!$G$54,O3-1,0,,)</f>
        <v>0</v>
      </c>
      <c r="P16" s="139">
        <f ca="1">OFFSET('A&amp;D Calculations'!$G$54,P3-1,0,,)</f>
        <v>0</v>
      </c>
      <c r="Q16" s="139">
        <f ca="1">OFFSET('A&amp;D Calculations'!$G$54,Q3-1,0,,)</f>
        <v>0</v>
      </c>
      <c r="R16" s="139">
        <f ca="1">OFFSET('A&amp;D Calculations'!$G$54,R3-1,0,,)</f>
        <v>0</v>
      </c>
      <c r="S16" s="139">
        <f ca="1">OFFSET('A&amp;D Calculations'!$G$54,S3-1,0,,)</f>
        <v>0</v>
      </c>
      <c r="T16" s="139">
        <f ca="1">OFFSET('A&amp;D Calculations'!$G$54,T3-1,0,,)</f>
        <v>0</v>
      </c>
      <c r="U16" s="139">
        <f ca="1">OFFSET('A&amp;D Calculations'!$G$54,U3-1,0,,)</f>
        <v>0</v>
      </c>
      <c r="V16" s="139">
        <f ca="1">OFFSET('A&amp;D Calculations'!$G$54,V3-1,0,,)</f>
        <v>0</v>
      </c>
      <c r="W16" s="145"/>
      <c r="X16" s="143">
        <f>SUM(C16:W16)</f>
        <v>211734.8879221577</v>
      </c>
    </row>
    <row r="17" spans="2:24" ht="15">
      <c r="B17" s="39"/>
      <c r="C17" s="141"/>
      <c r="D17" s="141"/>
      <c r="E17" s="141"/>
      <c r="F17" s="141"/>
      <c r="G17" s="141"/>
      <c r="H17" s="141"/>
      <c r="I17" s="141"/>
      <c r="J17" s="141"/>
      <c r="K17" s="141"/>
      <c r="L17" s="141"/>
      <c r="M17" s="141"/>
      <c r="N17" s="141"/>
      <c r="O17" s="141"/>
      <c r="P17" s="141"/>
      <c r="Q17" s="141"/>
      <c r="R17" s="141"/>
      <c r="S17" s="141"/>
      <c r="T17" s="141"/>
      <c r="U17" s="141"/>
      <c r="V17" s="141"/>
      <c r="W17" s="142"/>
      <c r="X17" s="143"/>
    </row>
    <row r="18" spans="2:24" ht="15.75" thickBot="1">
      <c r="B18" s="32" t="s">
        <v>172</v>
      </c>
      <c r="C18" s="147">
        <f aca="true" t="shared" si="1" ref="C18:V18">C6+C13-C9-C10-C14-C15-C16</f>
        <v>-328650</v>
      </c>
      <c r="D18" s="147">
        <f t="shared" si="1"/>
        <v>-206250.00000000003</v>
      </c>
      <c r="E18" s="147">
        <f t="shared" si="1"/>
        <v>-67500</v>
      </c>
      <c r="F18" s="147">
        <f t="shared" si="1"/>
        <v>-45000</v>
      </c>
      <c r="G18" s="147">
        <f t="shared" si="1"/>
        <v>585955.0980701585</v>
      </c>
      <c r="H18" s="147">
        <f t="shared" si="1"/>
        <v>598217.329597951</v>
      </c>
      <c r="I18" s="147">
        <f t="shared" si="1"/>
        <v>150679.33239948776</v>
      </c>
      <c r="J18" s="147">
        <f t="shared" si="1"/>
        <v>0</v>
      </c>
      <c r="K18" s="147">
        <f t="shared" si="1"/>
        <v>0</v>
      </c>
      <c r="L18" s="147">
        <f t="shared" si="1"/>
        <v>0</v>
      </c>
      <c r="M18" s="147">
        <f t="shared" si="1"/>
        <v>0</v>
      </c>
      <c r="N18" s="147">
        <f t="shared" si="1"/>
        <v>0</v>
      </c>
      <c r="O18" s="147">
        <f t="shared" si="1"/>
        <v>0</v>
      </c>
      <c r="P18" s="147">
        <f t="shared" si="1"/>
        <v>0</v>
      </c>
      <c r="Q18" s="147">
        <f t="shared" si="1"/>
        <v>0</v>
      </c>
      <c r="R18" s="147">
        <f t="shared" si="1"/>
        <v>0</v>
      </c>
      <c r="S18" s="147">
        <f t="shared" si="1"/>
        <v>0</v>
      </c>
      <c r="T18" s="147">
        <f t="shared" si="1"/>
        <v>0</v>
      </c>
      <c r="U18" s="147">
        <f t="shared" si="1"/>
        <v>0</v>
      </c>
      <c r="V18" s="147">
        <f t="shared" si="1"/>
        <v>0</v>
      </c>
      <c r="W18" s="148"/>
      <c r="X18" s="148">
        <f>SUM(C18:W18)</f>
        <v>687451.7600675973</v>
      </c>
    </row>
    <row r="19" spans="2:24" ht="15">
      <c r="B19" s="39"/>
      <c r="C19" s="144"/>
      <c r="D19" s="144"/>
      <c r="E19" s="144"/>
      <c r="F19" s="144"/>
      <c r="G19" s="144"/>
      <c r="H19" s="144"/>
      <c r="I19" s="144"/>
      <c r="J19" s="144"/>
      <c r="K19" s="144"/>
      <c r="L19" s="144"/>
      <c r="M19" s="144"/>
      <c r="N19" s="144"/>
      <c r="O19" s="144"/>
      <c r="P19" s="144"/>
      <c r="Q19" s="144"/>
      <c r="R19" s="144"/>
      <c r="S19" s="144"/>
      <c r="T19" s="144"/>
      <c r="U19" s="144"/>
      <c r="V19" s="144"/>
      <c r="W19" s="142"/>
      <c r="X19" s="142"/>
    </row>
    <row r="20" spans="2:24" ht="15">
      <c r="B20" s="39" t="s">
        <v>278</v>
      </c>
      <c r="C20" s="144">
        <f aca="true" t="shared" si="2" ref="C20:V20">+C6-C9-C10</f>
        <v>-1250250</v>
      </c>
      <c r="D20" s="144">
        <f t="shared" si="2"/>
        <v>-559570.6676005123</v>
      </c>
      <c r="E20" s="144">
        <f t="shared" si="2"/>
        <v>535217.329597951</v>
      </c>
      <c r="F20" s="144">
        <f t="shared" si="2"/>
        <v>708396.6619974388</v>
      </c>
      <c r="G20" s="144">
        <f t="shared" si="2"/>
        <v>730896.6619974388</v>
      </c>
      <c r="H20" s="144">
        <f t="shared" si="2"/>
        <v>598217.329597951</v>
      </c>
      <c r="I20" s="144">
        <f t="shared" si="2"/>
        <v>150679.33239948776</v>
      </c>
      <c r="J20" s="144">
        <f t="shared" si="2"/>
        <v>0</v>
      </c>
      <c r="K20" s="144">
        <f t="shared" si="2"/>
        <v>0</v>
      </c>
      <c r="L20" s="144">
        <f t="shared" si="2"/>
        <v>0</v>
      </c>
      <c r="M20" s="144">
        <f t="shared" si="2"/>
        <v>0</v>
      </c>
      <c r="N20" s="144">
        <f t="shared" si="2"/>
        <v>0</v>
      </c>
      <c r="O20" s="144">
        <f t="shared" si="2"/>
        <v>0</v>
      </c>
      <c r="P20" s="144">
        <f t="shared" si="2"/>
        <v>0</v>
      </c>
      <c r="Q20" s="144">
        <f t="shared" si="2"/>
        <v>0</v>
      </c>
      <c r="R20" s="144">
        <f t="shared" si="2"/>
        <v>0</v>
      </c>
      <c r="S20" s="144">
        <f t="shared" si="2"/>
        <v>0</v>
      </c>
      <c r="T20" s="144">
        <f t="shared" si="2"/>
        <v>0</v>
      </c>
      <c r="U20" s="144">
        <f t="shared" si="2"/>
        <v>0</v>
      </c>
      <c r="V20" s="144">
        <f t="shared" si="2"/>
        <v>0</v>
      </c>
      <c r="W20" s="142"/>
      <c r="X20" s="143">
        <f aca="true" t="shared" si="3" ref="X20:X25">SUM(C20:W20)</f>
        <v>913586.6479897551</v>
      </c>
    </row>
    <row r="21" spans="2:24" ht="15">
      <c r="B21" s="39" t="s">
        <v>279</v>
      </c>
      <c r="C21" s="144">
        <f aca="true" t="shared" si="4" ref="C21:V21">+C6-C9-C10+C13-C14-C15-C16</f>
        <v>-328650</v>
      </c>
      <c r="D21" s="144">
        <f t="shared" si="4"/>
        <v>-206250.00000000003</v>
      </c>
      <c r="E21" s="144">
        <f t="shared" si="4"/>
        <v>-67500</v>
      </c>
      <c r="F21" s="144">
        <f t="shared" si="4"/>
        <v>-45000</v>
      </c>
      <c r="G21" s="144">
        <f t="shared" si="4"/>
        <v>585955.0980701585</v>
      </c>
      <c r="H21" s="144">
        <f t="shared" si="4"/>
        <v>598217.329597951</v>
      </c>
      <c r="I21" s="144">
        <f t="shared" si="4"/>
        <v>150679.33239948776</v>
      </c>
      <c r="J21" s="144">
        <f t="shared" si="4"/>
        <v>0</v>
      </c>
      <c r="K21" s="144">
        <f t="shared" si="4"/>
        <v>0</v>
      </c>
      <c r="L21" s="144">
        <f t="shared" si="4"/>
        <v>0</v>
      </c>
      <c r="M21" s="144">
        <f t="shared" si="4"/>
        <v>0</v>
      </c>
      <c r="N21" s="144">
        <f t="shared" si="4"/>
        <v>0</v>
      </c>
      <c r="O21" s="144">
        <f t="shared" si="4"/>
        <v>0</v>
      </c>
      <c r="P21" s="144">
        <f t="shared" si="4"/>
        <v>0</v>
      </c>
      <c r="Q21" s="144">
        <f t="shared" si="4"/>
        <v>0</v>
      </c>
      <c r="R21" s="144">
        <f t="shared" si="4"/>
        <v>0</v>
      </c>
      <c r="S21" s="144">
        <f t="shared" si="4"/>
        <v>0</v>
      </c>
      <c r="T21" s="144">
        <f t="shared" si="4"/>
        <v>0</v>
      </c>
      <c r="U21" s="144">
        <f t="shared" si="4"/>
        <v>0</v>
      </c>
      <c r="V21" s="144">
        <f t="shared" si="4"/>
        <v>0</v>
      </c>
      <c r="W21" s="145"/>
      <c r="X21" s="143">
        <f t="shared" si="3"/>
        <v>687451.7600675973</v>
      </c>
    </row>
    <row r="22" spans="2:24" ht="15">
      <c r="B22" s="10" t="s">
        <v>170</v>
      </c>
      <c r="C22" s="144"/>
      <c r="D22" s="144"/>
      <c r="E22" s="144"/>
      <c r="F22" s="144"/>
      <c r="G22" s="144"/>
      <c r="H22" s="144"/>
      <c r="I22" s="144"/>
      <c r="J22" s="144"/>
      <c r="K22" s="144"/>
      <c r="L22" s="144"/>
      <c r="M22" s="144"/>
      <c r="N22" s="144"/>
      <c r="O22" s="144"/>
      <c r="P22" s="144"/>
      <c r="Q22" s="144"/>
      <c r="R22" s="144"/>
      <c r="S22" s="144"/>
      <c r="T22" s="144"/>
      <c r="U22" s="144"/>
      <c r="V22" s="144"/>
      <c r="W22" s="142"/>
      <c r="X22" s="143">
        <f t="shared" si="3"/>
        <v>0</v>
      </c>
    </row>
    <row r="23" spans="2:24" ht="15">
      <c r="B23" s="501" t="s">
        <v>288</v>
      </c>
      <c r="C23" s="144">
        <f>MAX(-C18-C10,0)</f>
        <v>238650</v>
      </c>
      <c r="D23" s="144">
        <f aca="true" t="shared" si="5" ref="D23:V23">MAX(-D18-D10,0)</f>
        <v>120750.00000000003</v>
      </c>
      <c r="E23" s="144">
        <f t="shared" si="5"/>
        <v>0</v>
      </c>
      <c r="F23" s="144">
        <f t="shared" si="5"/>
        <v>0</v>
      </c>
      <c r="G23" s="144">
        <f t="shared" si="5"/>
        <v>0</v>
      </c>
      <c r="H23" s="144">
        <f t="shared" si="5"/>
        <v>0</v>
      </c>
      <c r="I23" s="144">
        <f t="shared" si="5"/>
        <v>0</v>
      </c>
      <c r="J23" s="144">
        <f t="shared" si="5"/>
        <v>0</v>
      </c>
      <c r="K23" s="144">
        <f t="shared" si="5"/>
        <v>0</v>
      </c>
      <c r="L23" s="144">
        <f t="shared" si="5"/>
        <v>0</v>
      </c>
      <c r="M23" s="144">
        <f t="shared" si="5"/>
        <v>0</v>
      </c>
      <c r="N23" s="144">
        <f t="shared" si="5"/>
        <v>0</v>
      </c>
      <c r="O23" s="144">
        <f t="shared" si="5"/>
        <v>0</v>
      </c>
      <c r="P23" s="144">
        <f t="shared" si="5"/>
        <v>0</v>
      </c>
      <c r="Q23" s="144">
        <f t="shared" si="5"/>
        <v>0</v>
      </c>
      <c r="R23" s="144">
        <f t="shared" si="5"/>
        <v>0</v>
      </c>
      <c r="S23" s="144">
        <f t="shared" si="5"/>
        <v>0</v>
      </c>
      <c r="T23" s="144">
        <f t="shared" si="5"/>
        <v>0</v>
      </c>
      <c r="U23" s="144">
        <f t="shared" si="5"/>
        <v>0</v>
      </c>
      <c r="V23" s="144">
        <f t="shared" si="5"/>
        <v>0</v>
      </c>
      <c r="W23" s="142"/>
      <c r="X23" s="143">
        <f t="shared" si="3"/>
        <v>359400</v>
      </c>
    </row>
    <row r="24" spans="2:24" ht="15">
      <c r="B24" s="39" t="s">
        <v>293</v>
      </c>
      <c r="C24" s="144">
        <f>IF(C18&gt;0,0,MAX(-C10,C18)-X23)</f>
        <v>-449400</v>
      </c>
      <c r="D24" s="144">
        <f>IF(D18&gt;0,0,MAX(-D10,D18))</f>
        <v>-85500</v>
      </c>
      <c r="E24" s="144">
        <f>IF(E18&gt;0,0,MAX(-E10,E18))</f>
        <v>-67500</v>
      </c>
      <c r="F24" s="144">
        <f>IF(F18&gt;0,0,MAX(-F10,F18))</f>
        <v>-45000</v>
      </c>
      <c r="G24" s="144">
        <f>IF(G18&gt;0,0,MAX(-G10,G18))</f>
        <v>0</v>
      </c>
      <c r="H24" s="144">
        <f aca="true" t="shared" si="6" ref="H24:V24">IF(H18&gt;0,0,MAX(-H10,H18))</f>
        <v>0</v>
      </c>
      <c r="I24" s="144">
        <f t="shared" si="6"/>
        <v>0</v>
      </c>
      <c r="J24" s="144">
        <f t="shared" si="6"/>
        <v>0</v>
      </c>
      <c r="K24" s="144">
        <f t="shared" si="6"/>
        <v>0</v>
      </c>
      <c r="L24" s="144">
        <f t="shared" si="6"/>
        <v>0</v>
      </c>
      <c r="M24" s="144">
        <f t="shared" si="6"/>
        <v>0</v>
      </c>
      <c r="N24" s="144">
        <f t="shared" si="6"/>
        <v>0</v>
      </c>
      <c r="O24" s="144">
        <f t="shared" si="6"/>
        <v>0</v>
      </c>
      <c r="P24" s="144">
        <f t="shared" si="6"/>
        <v>0</v>
      </c>
      <c r="Q24" s="144">
        <f t="shared" si="6"/>
        <v>0</v>
      </c>
      <c r="R24" s="144">
        <f t="shared" si="6"/>
        <v>0</v>
      </c>
      <c r="S24" s="144">
        <f t="shared" si="6"/>
        <v>0</v>
      </c>
      <c r="T24" s="144">
        <f t="shared" si="6"/>
        <v>0</v>
      </c>
      <c r="U24" s="144">
        <f t="shared" si="6"/>
        <v>0</v>
      </c>
      <c r="V24" s="144">
        <f t="shared" si="6"/>
        <v>0</v>
      </c>
      <c r="W24" s="144"/>
      <c r="X24" s="505">
        <f t="shared" si="3"/>
        <v>-647400</v>
      </c>
    </row>
    <row r="25" spans="2:24" ht="15">
      <c r="B25" s="39" t="s">
        <v>280</v>
      </c>
      <c r="C25" s="144">
        <f aca="true" t="shared" si="7" ref="C25:V25">MAX(C18+C24,0)</f>
        <v>0</v>
      </c>
      <c r="D25" s="144">
        <f t="shared" si="7"/>
        <v>0</v>
      </c>
      <c r="E25" s="144">
        <f t="shared" si="7"/>
        <v>0</v>
      </c>
      <c r="F25" s="144">
        <f t="shared" si="7"/>
        <v>0</v>
      </c>
      <c r="G25" s="144">
        <f t="shared" si="7"/>
        <v>585955.0980701585</v>
      </c>
      <c r="H25" s="144">
        <f t="shared" si="7"/>
        <v>598217.329597951</v>
      </c>
      <c r="I25" s="144">
        <f t="shared" si="7"/>
        <v>150679.33239948776</v>
      </c>
      <c r="J25" s="144">
        <f t="shared" si="7"/>
        <v>0</v>
      </c>
      <c r="K25" s="144">
        <f t="shared" si="7"/>
        <v>0</v>
      </c>
      <c r="L25" s="144">
        <f t="shared" si="7"/>
        <v>0</v>
      </c>
      <c r="M25" s="144">
        <f t="shared" si="7"/>
        <v>0</v>
      </c>
      <c r="N25" s="144">
        <f t="shared" si="7"/>
        <v>0</v>
      </c>
      <c r="O25" s="144">
        <f t="shared" si="7"/>
        <v>0</v>
      </c>
      <c r="P25" s="144">
        <f t="shared" si="7"/>
        <v>0</v>
      </c>
      <c r="Q25" s="144">
        <f t="shared" si="7"/>
        <v>0</v>
      </c>
      <c r="R25" s="144">
        <f t="shared" si="7"/>
        <v>0</v>
      </c>
      <c r="S25" s="144">
        <f t="shared" si="7"/>
        <v>0</v>
      </c>
      <c r="T25" s="144">
        <f t="shared" si="7"/>
        <v>0</v>
      </c>
      <c r="U25" s="144">
        <f t="shared" si="7"/>
        <v>0</v>
      </c>
      <c r="V25" s="144">
        <f t="shared" si="7"/>
        <v>0</v>
      </c>
      <c r="W25" s="145"/>
      <c r="X25" s="505">
        <f t="shared" si="3"/>
        <v>1334851.7600675973</v>
      </c>
    </row>
    <row r="26" spans="2:24" ht="15">
      <c r="B26" s="39" t="s">
        <v>281</v>
      </c>
      <c r="C26" s="144">
        <f aca="true" t="shared" si="8" ref="C26:V26">+C24+C25</f>
        <v>-449400</v>
      </c>
      <c r="D26" s="144">
        <f t="shared" si="8"/>
        <v>-85500</v>
      </c>
      <c r="E26" s="144">
        <f t="shared" si="8"/>
        <v>-67500</v>
      </c>
      <c r="F26" s="144">
        <f t="shared" si="8"/>
        <v>-45000</v>
      </c>
      <c r="G26" s="144">
        <f t="shared" si="8"/>
        <v>585955.0980701585</v>
      </c>
      <c r="H26" s="144">
        <f t="shared" si="8"/>
        <v>598217.329597951</v>
      </c>
      <c r="I26" s="144">
        <f t="shared" si="8"/>
        <v>150679.33239948776</v>
      </c>
      <c r="J26" s="144">
        <f t="shared" si="8"/>
        <v>0</v>
      </c>
      <c r="K26" s="144">
        <f t="shared" si="8"/>
        <v>0</v>
      </c>
      <c r="L26" s="144">
        <f t="shared" si="8"/>
        <v>0</v>
      </c>
      <c r="M26" s="144">
        <f t="shared" si="8"/>
        <v>0</v>
      </c>
      <c r="N26" s="144">
        <f t="shared" si="8"/>
        <v>0</v>
      </c>
      <c r="O26" s="144">
        <f t="shared" si="8"/>
        <v>0</v>
      </c>
      <c r="P26" s="144">
        <f t="shared" si="8"/>
        <v>0</v>
      </c>
      <c r="Q26" s="144">
        <f t="shared" si="8"/>
        <v>0</v>
      </c>
      <c r="R26" s="144">
        <f t="shared" si="8"/>
        <v>0</v>
      </c>
      <c r="S26" s="144">
        <f t="shared" si="8"/>
        <v>0</v>
      </c>
      <c r="T26" s="144">
        <f t="shared" si="8"/>
        <v>0</v>
      </c>
      <c r="U26" s="144">
        <f t="shared" si="8"/>
        <v>0</v>
      </c>
      <c r="V26" s="144">
        <f t="shared" si="8"/>
        <v>0</v>
      </c>
      <c r="W26" s="142"/>
      <c r="X26" s="143">
        <f>SUM(C26:V26)</f>
        <v>687451.7600675973</v>
      </c>
    </row>
    <row r="27" spans="2:24" ht="15.75" thickBot="1">
      <c r="B27" s="32" t="s">
        <v>282</v>
      </c>
      <c r="C27" s="147">
        <f>C26</f>
        <v>-449400</v>
      </c>
      <c r="D27" s="147">
        <f>C27+D26</f>
        <v>-534900</v>
      </c>
      <c r="E27" s="147">
        <f aca="true" t="shared" si="9" ref="E27:V27">D27+E26</f>
        <v>-602400</v>
      </c>
      <c r="F27" s="147">
        <f t="shared" si="9"/>
        <v>-647400</v>
      </c>
      <c r="G27" s="147">
        <f t="shared" si="9"/>
        <v>-61444.90192984149</v>
      </c>
      <c r="H27" s="147">
        <f t="shared" si="9"/>
        <v>536772.4276681095</v>
      </c>
      <c r="I27" s="147">
        <f t="shared" si="9"/>
        <v>687451.7600675973</v>
      </c>
      <c r="J27" s="147">
        <f t="shared" si="9"/>
        <v>687451.7600675973</v>
      </c>
      <c r="K27" s="147">
        <f t="shared" si="9"/>
        <v>687451.7600675973</v>
      </c>
      <c r="L27" s="147">
        <f t="shared" si="9"/>
        <v>687451.7600675973</v>
      </c>
      <c r="M27" s="147">
        <f t="shared" si="9"/>
        <v>687451.7600675973</v>
      </c>
      <c r="N27" s="147">
        <f t="shared" si="9"/>
        <v>687451.7600675973</v>
      </c>
      <c r="O27" s="147">
        <f t="shared" si="9"/>
        <v>687451.7600675973</v>
      </c>
      <c r="P27" s="147">
        <f t="shared" si="9"/>
        <v>687451.7600675973</v>
      </c>
      <c r="Q27" s="147">
        <f t="shared" si="9"/>
        <v>687451.7600675973</v>
      </c>
      <c r="R27" s="147">
        <f t="shared" si="9"/>
        <v>687451.7600675973</v>
      </c>
      <c r="S27" s="147">
        <f t="shared" si="9"/>
        <v>687451.7600675973</v>
      </c>
      <c r="T27" s="147">
        <f t="shared" si="9"/>
        <v>687451.7600675973</v>
      </c>
      <c r="U27" s="147">
        <f t="shared" si="9"/>
        <v>687451.7600675973</v>
      </c>
      <c r="V27" s="147">
        <f t="shared" si="9"/>
        <v>687451.7600675973</v>
      </c>
      <c r="W27" s="148"/>
      <c r="X27" s="148"/>
    </row>
    <row r="28" spans="2:9" ht="15">
      <c r="B28" s="506" t="s">
        <v>294</v>
      </c>
      <c r="I28" s="93"/>
    </row>
    <row r="32" ht="15">
      <c r="C32" s="490"/>
    </row>
    <row r="33" ht="15">
      <c r="C33" s="490"/>
    </row>
    <row r="35" ht="15">
      <c r="C35" s="490"/>
    </row>
    <row r="50" spans="2:22" ht="15">
      <c r="B50" s="76" t="s">
        <v>4</v>
      </c>
      <c r="C50" s="76">
        <v>1</v>
      </c>
      <c r="D50" s="76">
        <v>2</v>
      </c>
      <c r="E50" s="76">
        <v>3</v>
      </c>
      <c r="F50" s="76">
        <v>4</v>
      </c>
      <c r="G50" s="76">
        <v>5</v>
      </c>
      <c r="H50" s="76">
        <v>6</v>
      </c>
      <c r="I50" s="76">
        <v>7</v>
      </c>
      <c r="J50" s="76">
        <v>8</v>
      </c>
      <c r="K50" s="76">
        <v>9</v>
      </c>
      <c r="L50" s="76">
        <v>10</v>
      </c>
      <c r="M50" s="76">
        <v>11</v>
      </c>
      <c r="N50" s="76">
        <v>12</v>
      </c>
      <c r="O50" s="76">
        <v>13</v>
      </c>
      <c r="P50" s="76">
        <v>14</v>
      </c>
      <c r="Q50" s="76">
        <v>15</v>
      </c>
      <c r="R50" s="76">
        <v>16</v>
      </c>
      <c r="S50" s="76">
        <v>17</v>
      </c>
      <c r="T50" s="76">
        <v>18</v>
      </c>
      <c r="U50" s="76">
        <v>19</v>
      </c>
      <c r="V50" s="76">
        <v>20</v>
      </c>
    </row>
    <row r="51" spans="2:3" ht="15">
      <c r="B51" s="76" t="s">
        <v>41</v>
      </c>
      <c r="C51" s="93"/>
    </row>
    <row r="52" spans="2:22" ht="15">
      <c r="B52" s="76" t="s">
        <v>110</v>
      </c>
      <c r="C52" s="93">
        <v>1134545.4545454546</v>
      </c>
      <c r="D52" s="76">
        <v>610909.0909090909</v>
      </c>
      <c r="E52" s="76">
        <v>0</v>
      </c>
      <c r="F52" s="76">
        <v>0</v>
      </c>
      <c r="G52" s="76">
        <v>0</v>
      </c>
      <c r="H52" s="76">
        <v>0</v>
      </c>
      <c r="I52" s="76">
        <v>0</v>
      </c>
      <c r="J52" s="76">
        <v>0</v>
      </c>
      <c r="K52" s="76">
        <v>0</v>
      </c>
      <c r="L52" s="76">
        <v>0</v>
      </c>
      <c r="M52" s="76">
        <v>0</v>
      </c>
      <c r="N52" s="76">
        <v>0</v>
      </c>
      <c r="O52" s="76">
        <v>0</v>
      </c>
      <c r="P52" s="76">
        <v>0</v>
      </c>
      <c r="Q52" s="76">
        <v>0</v>
      </c>
      <c r="R52" s="76">
        <v>0</v>
      </c>
      <c r="S52" s="76">
        <v>0</v>
      </c>
      <c r="T52" s="76">
        <v>0</v>
      </c>
      <c r="U52" s="76">
        <v>0</v>
      </c>
      <c r="V52" s="76">
        <v>0</v>
      </c>
    </row>
    <row r="53" spans="2:22" ht="15">
      <c r="B53" s="76" t="s">
        <v>109</v>
      </c>
      <c r="C53" s="93">
        <v>425454.5454545454</v>
      </c>
      <c r="D53" s="76">
        <v>229090.90909090906</v>
      </c>
      <c r="E53" s="76">
        <v>0</v>
      </c>
      <c r="F53" s="76">
        <v>0</v>
      </c>
      <c r="G53" s="76">
        <v>0</v>
      </c>
      <c r="H53" s="76">
        <v>0</v>
      </c>
      <c r="I53" s="76">
        <v>0</v>
      </c>
      <c r="J53" s="76">
        <v>0</v>
      </c>
      <c r="K53" s="76">
        <v>0</v>
      </c>
      <c r="L53" s="76">
        <v>0</v>
      </c>
      <c r="M53" s="76">
        <v>0</v>
      </c>
      <c r="N53" s="76">
        <v>0</v>
      </c>
      <c r="O53" s="76">
        <v>0</v>
      </c>
      <c r="P53" s="76">
        <v>0</v>
      </c>
      <c r="Q53" s="76">
        <v>0</v>
      </c>
      <c r="R53" s="76">
        <v>0</v>
      </c>
      <c r="S53" s="76">
        <v>0</v>
      </c>
      <c r="T53" s="76">
        <v>0</v>
      </c>
      <c r="U53" s="76">
        <v>0</v>
      </c>
      <c r="V53" s="76">
        <v>0</v>
      </c>
    </row>
    <row r="54" spans="2:22" ht="15">
      <c r="B54" s="76" t="s">
        <v>35</v>
      </c>
      <c r="C54" s="93">
        <v>1560000</v>
      </c>
      <c r="D54" s="76">
        <v>840000</v>
      </c>
      <c r="E54" s="76">
        <v>0</v>
      </c>
      <c r="F54" s="76">
        <v>0</v>
      </c>
      <c r="G54" s="76">
        <v>0</v>
      </c>
      <c r="H54" s="76">
        <v>0</v>
      </c>
      <c r="I54" s="76">
        <v>0</v>
      </c>
      <c r="J54" s="76">
        <v>0</v>
      </c>
      <c r="K54" s="76">
        <v>0</v>
      </c>
      <c r="L54" s="76">
        <v>0</v>
      </c>
      <c r="M54" s="76">
        <v>0</v>
      </c>
      <c r="N54" s="76">
        <v>0</v>
      </c>
      <c r="O54" s="76">
        <v>0</v>
      </c>
      <c r="P54" s="76">
        <v>0</v>
      </c>
      <c r="Q54" s="76">
        <v>0</v>
      </c>
      <c r="R54" s="76">
        <v>0</v>
      </c>
      <c r="S54" s="76">
        <v>0</v>
      </c>
      <c r="T54" s="76">
        <v>0</v>
      </c>
      <c r="U54" s="76">
        <v>0</v>
      </c>
      <c r="V54" s="76">
        <v>0</v>
      </c>
    </row>
    <row r="55" ht="15">
      <c r="C55" s="93"/>
    </row>
    <row r="56" spans="2:3" ht="15">
      <c r="B56" s="76" t="s">
        <v>20</v>
      </c>
      <c r="C56" s="93"/>
    </row>
    <row r="57" spans="2:22" ht="15">
      <c r="B57" s="76" t="s">
        <v>36</v>
      </c>
      <c r="C57" s="93">
        <v>0</v>
      </c>
      <c r="D57" s="76">
        <v>160882.37689333805</v>
      </c>
      <c r="E57" s="76">
        <v>613389.6368956792</v>
      </c>
      <c r="F57" s="76">
        <v>764225.3902297928</v>
      </c>
      <c r="G57" s="76">
        <v>774272.0137890172</v>
      </c>
      <c r="H57" s="76">
        <v>563156.5190995573</v>
      </c>
      <c r="I57" s="76">
        <v>140789.12977488933</v>
      </c>
      <c r="J57" s="76">
        <v>0</v>
      </c>
      <c r="K57" s="76">
        <v>0</v>
      </c>
      <c r="L57" s="76">
        <v>0</v>
      </c>
      <c r="M57" s="76">
        <v>0</v>
      </c>
      <c r="N57" s="76">
        <v>0</v>
      </c>
      <c r="O57" s="76">
        <v>0</v>
      </c>
      <c r="P57" s="76">
        <v>0</v>
      </c>
      <c r="Q57" s="76">
        <v>0</v>
      </c>
      <c r="R57" s="76">
        <v>0</v>
      </c>
      <c r="S57" s="76">
        <v>0</v>
      </c>
      <c r="T57" s="76">
        <v>0</v>
      </c>
      <c r="U57" s="76">
        <v>0</v>
      </c>
      <c r="V57" s="76">
        <v>0</v>
      </c>
    </row>
    <row r="58" spans="2:22" ht="15">
      <c r="B58" s="76" t="s">
        <v>50</v>
      </c>
      <c r="C58" s="76">
        <v>711000</v>
      </c>
      <c r="D58" s="76">
        <v>668340</v>
      </c>
      <c r="E58" s="76">
        <v>519030</v>
      </c>
      <c r="F58" s="76">
        <v>334170</v>
      </c>
      <c r="G58" s="76">
        <v>142199.99999999997</v>
      </c>
      <c r="H58" s="76">
        <v>28439.999999999945</v>
      </c>
      <c r="I58" s="76">
        <v>0</v>
      </c>
      <c r="J58" s="76">
        <v>0</v>
      </c>
      <c r="K58" s="76">
        <v>0</v>
      </c>
      <c r="L58" s="76">
        <v>0</v>
      </c>
      <c r="M58" s="76">
        <v>0</v>
      </c>
      <c r="N58" s="76">
        <v>0</v>
      </c>
      <c r="O58" s="76">
        <v>0</v>
      </c>
      <c r="P58" s="76">
        <v>0</v>
      </c>
      <c r="Q58" s="76">
        <v>0</v>
      </c>
      <c r="R58" s="76">
        <v>0</v>
      </c>
      <c r="S58" s="76">
        <v>0</v>
      </c>
      <c r="T58" s="76">
        <v>0</v>
      </c>
      <c r="U58" s="76">
        <v>0</v>
      </c>
      <c r="V58" s="76">
        <v>0</v>
      </c>
    </row>
    <row r="59" spans="2:22" ht="15">
      <c r="B59" s="76" t="s">
        <v>13</v>
      </c>
      <c r="C59" s="76">
        <v>-2271000</v>
      </c>
      <c r="D59" s="76">
        <v>-1347457.623106662</v>
      </c>
      <c r="E59" s="76">
        <v>94359.63689567917</v>
      </c>
      <c r="F59" s="76">
        <v>430055.3902297928</v>
      </c>
      <c r="G59" s="76">
        <v>632072.0137890172</v>
      </c>
      <c r="H59" s="76">
        <v>534716.5190995573</v>
      </c>
      <c r="I59" s="76">
        <v>140789.12977488933</v>
      </c>
      <c r="J59" s="76">
        <v>0</v>
      </c>
      <c r="K59" s="76">
        <v>0</v>
      </c>
      <c r="L59" s="76">
        <v>0</v>
      </c>
      <c r="M59" s="76">
        <v>0</v>
      </c>
      <c r="N59" s="76">
        <v>0</v>
      </c>
      <c r="O59" s="76">
        <v>0</v>
      </c>
      <c r="P59" s="76">
        <v>0</v>
      </c>
      <c r="Q59" s="76">
        <v>0</v>
      </c>
      <c r="R59" s="76">
        <v>0</v>
      </c>
      <c r="S59" s="76">
        <v>0</v>
      </c>
      <c r="T59" s="76">
        <v>0</v>
      </c>
      <c r="U59" s="76">
        <v>0</v>
      </c>
      <c r="V59" s="76">
        <v>0</v>
      </c>
    </row>
    <row r="61" ht="15">
      <c r="B61" s="76" t="s">
        <v>151</v>
      </c>
    </row>
    <row r="62" spans="2:22" ht="15">
      <c r="B62" s="76" t="s">
        <v>111</v>
      </c>
      <c r="C62" s="76">
        <v>1171363.6363636362</v>
      </c>
      <c r="D62" s="76">
        <v>897430.9090909091</v>
      </c>
      <c r="E62" s="76">
        <v>519030</v>
      </c>
      <c r="F62" s="76">
        <v>334170</v>
      </c>
      <c r="G62" s="76">
        <v>0</v>
      </c>
      <c r="H62" s="76">
        <v>0</v>
      </c>
      <c r="I62" s="76">
        <v>0</v>
      </c>
      <c r="J62" s="76">
        <v>0</v>
      </c>
      <c r="K62" s="76">
        <v>0</v>
      </c>
      <c r="L62" s="76">
        <v>0</v>
      </c>
      <c r="M62" s="76">
        <v>0</v>
      </c>
      <c r="N62" s="76">
        <v>0</v>
      </c>
      <c r="O62" s="76">
        <v>0</v>
      </c>
      <c r="P62" s="76">
        <v>0</v>
      </c>
      <c r="Q62" s="76">
        <v>0</v>
      </c>
      <c r="R62" s="76">
        <v>0</v>
      </c>
      <c r="S62" s="76">
        <v>0</v>
      </c>
      <c r="T62" s="76">
        <v>0</v>
      </c>
      <c r="U62" s="76">
        <v>0</v>
      </c>
      <c r="V62" s="76">
        <v>0</v>
      </c>
    </row>
    <row r="63" spans="2:22" ht="15">
      <c r="B63" s="76" t="s">
        <v>150</v>
      </c>
      <c r="C63" s="76">
        <v>-1171363.6363636362</v>
      </c>
      <c r="D63" s="76">
        <v>-736548.532197571</v>
      </c>
      <c r="E63" s="76">
        <v>94359.63689567917</v>
      </c>
      <c r="F63" s="76">
        <v>430055.3902297928</v>
      </c>
      <c r="G63" s="76">
        <v>774272.0137890172</v>
      </c>
      <c r="H63" s="76">
        <v>563156.5190995573</v>
      </c>
      <c r="I63" s="76">
        <v>140789.12977488933</v>
      </c>
      <c r="J63" s="76">
        <v>0</v>
      </c>
      <c r="K63" s="76">
        <v>0</v>
      </c>
      <c r="L63" s="76">
        <v>0</v>
      </c>
      <c r="M63" s="76">
        <v>0</v>
      </c>
      <c r="N63" s="76">
        <v>0</v>
      </c>
      <c r="O63" s="76">
        <v>0</v>
      </c>
      <c r="P63" s="76">
        <v>0</v>
      </c>
      <c r="Q63" s="76">
        <v>0</v>
      </c>
      <c r="R63" s="76">
        <v>0</v>
      </c>
      <c r="S63" s="76">
        <v>0</v>
      </c>
      <c r="T63" s="76">
        <v>0</v>
      </c>
      <c r="U63" s="76">
        <v>0</v>
      </c>
      <c r="V63" s="76">
        <v>0</v>
      </c>
    </row>
    <row r="65" ht="15">
      <c r="B65" s="76" t="s">
        <v>40</v>
      </c>
    </row>
    <row r="66" spans="2:22" ht="15">
      <c r="B66" s="76" t="s">
        <v>102</v>
      </c>
      <c r="C66" s="76">
        <v>34909.09090909091</v>
      </c>
      <c r="D66" s="76">
        <v>0</v>
      </c>
      <c r="E66" s="76">
        <v>0</v>
      </c>
      <c r="F66" s="76">
        <v>0</v>
      </c>
      <c r="G66" s="76">
        <v>0</v>
      </c>
      <c r="H66" s="76">
        <v>0</v>
      </c>
      <c r="I66" s="76">
        <v>0</v>
      </c>
      <c r="J66" s="76">
        <v>0</v>
      </c>
      <c r="K66" s="76">
        <v>0</v>
      </c>
      <c r="L66" s="76">
        <v>0</v>
      </c>
      <c r="M66" s="76">
        <v>0</v>
      </c>
      <c r="N66" s="76">
        <v>0</v>
      </c>
      <c r="O66" s="76">
        <v>0</v>
      </c>
      <c r="P66" s="76">
        <v>0</v>
      </c>
      <c r="Q66" s="76">
        <v>0</v>
      </c>
      <c r="R66" s="76">
        <v>0</v>
      </c>
      <c r="S66" s="76">
        <v>0</v>
      </c>
      <c r="T66" s="76">
        <v>0</v>
      </c>
      <c r="U66" s="76">
        <v>0</v>
      </c>
      <c r="V66" s="76">
        <v>0</v>
      </c>
    </row>
    <row r="67" spans="2:22" ht="15">
      <c r="B67" s="76" t="s">
        <v>38</v>
      </c>
      <c r="C67" s="76">
        <v>1134545.4545454546</v>
      </c>
      <c r="D67" s="76">
        <v>610909.0909090909</v>
      </c>
      <c r="E67" s="76">
        <v>0</v>
      </c>
      <c r="F67" s="76">
        <v>0</v>
      </c>
      <c r="G67" s="76">
        <v>0</v>
      </c>
      <c r="H67" s="76">
        <v>0</v>
      </c>
      <c r="I67" s="76">
        <v>0</v>
      </c>
      <c r="J67" s="76">
        <v>0</v>
      </c>
      <c r="K67" s="76">
        <v>0</v>
      </c>
      <c r="L67" s="76">
        <v>0</v>
      </c>
      <c r="M67" s="76">
        <v>0</v>
      </c>
      <c r="N67" s="76">
        <v>0</v>
      </c>
      <c r="O67" s="76">
        <v>0</v>
      </c>
      <c r="P67" s="76">
        <v>0</v>
      </c>
      <c r="Q67" s="76">
        <v>0</v>
      </c>
      <c r="R67" s="76">
        <v>0</v>
      </c>
      <c r="S67" s="76">
        <v>0</v>
      </c>
      <c r="T67" s="76">
        <v>0</v>
      </c>
      <c r="U67" s="76">
        <v>0</v>
      </c>
      <c r="V67" s="76">
        <v>0</v>
      </c>
    </row>
    <row r="68" spans="2:22" ht="15">
      <c r="B68" s="76" t="s">
        <v>48</v>
      </c>
      <c r="C68" s="76">
        <v>74766.54545454546</v>
      </c>
      <c r="D68" s="76">
        <v>114736.06639129961</v>
      </c>
      <c r="E68" s="76">
        <v>97022.77918461869</v>
      </c>
      <c r="F68" s="76">
        <v>58103.45481326092</v>
      </c>
      <c r="G68" s="76">
        <v>17884.80682931794</v>
      </c>
      <c r="H68" s="76">
        <v>0</v>
      </c>
      <c r="I68" s="76">
        <v>0</v>
      </c>
      <c r="J68" s="76">
        <v>0</v>
      </c>
      <c r="K68" s="76">
        <v>0</v>
      </c>
      <c r="L68" s="76">
        <v>0</v>
      </c>
      <c r="M68" s="76">
        <v>0</v>
      </c>
      <c r="N68" s="76">
        <v>0</v>
      </c>
      <c r="O68" s="76">
        <v>0</v>
      </c>
      <c r="P68" s="76">
        <v>0</v>
      </c>
      <c r="Q68" s="76">
        <v>0</v>
      </c>
      <c r="R68" s="76">
        <v>0</v>
      </c>
      <c r="S68" s="76">
        <v>0</v>
      </c>
      <c r="T68" s="76">
        <v>0</v>
      </c>
      <c r="U68" s="76">
        <v>0</v>
      </c>
      <c r="V68" s="76">
        <v>0</v>
      </c>
    </row>
    <row r="69" spans="2:22" ht="15">
      <c r="B69" s="76" t="s">
        <v>37</v>
      </c>
      <c r="C69" s="76">
        <v>1209312.0000000002</v>
      </c>
      <c r="D69" s="76">
        <v>1774074.780407053</v>
      </c>
      <c r="E69" s="76">
        <v>1257707.9226959925</v>
      </c>
      <c r="F69" s="76">
        <v>551585.9872794608</v>
      </c>
      <c r="G69" s="76">
        <v>0</v>
      </c>
      <c r="H69" s="76">
        <v>0</v>
      </c>
      <c r="I69" s="76">
        <v>0</v>
      </c>
      <c r="J69" s="76">
        <v>0</v>
      </c>
      <c r="K69" s="76">
        <v>0</v>
      </c>
      <c r="L69" s="76">
        <v>0</v>
      </c>
      <c r="M69" s="76">
        <v>0</v>
      </c>
      <c r="N69" s="76">
        <v>0</v>
      </c>
      <c r="O69" s="76">
        <v>0</v>
      </c>
      <c r="P69" s="76">
        <v>0</v>
      </c>
      <c r="Q69" s="76">
        <v>0</v>
      </c>
      <c r="R69" s="76">
        <v>0</v>
      </c>
      <c r="S69" s="76">
        <v>0</v>
      </c>
      <c r="T69" s="76">
        <v>0</v>
      </c>
      <c r="U69" s="76">
        <v>0</v>
      </c>
      <c r="V69" s="76">
        <v>0</v>
      </c>
    </row>
    <row r="70" spans="2:22" ht="15">
      <c r="B70" s="76" t="s">
        <v>55</v>
      </c>
      <c r="C70" s="76">
        <v>0</v>
      </c>
      <c r="D70" s="76">
        <v>160882.37689333805</v>
      </c>
      <c r="E70" s="76">
        <v>613389.6368956792</v>
      </c>
      <c r="F70" s="76">
        <v>764225.3902297928</v>
      </c>
      <c r="G70" s="76">
        <v>569470.7941087787</v>
      </c>
      <c r="H70" s="76">
        <v>0</v>
      </c>
      <c r="I70" s="76">
        <v>0</v>
      </c>
      <c r="J70" s="76">
        <v>0</v>
      </c>
      <c r="K70" s="76">
        <v>0</v>
      </c>
      <c r="L70" s="76">
        <v>0</v>
      </c>
      <c r="M70" s="76">
        <v>0</v>
      </c>
      <c r="N70" s="76">
        <v>0</v>
      </c>
      <c r="O70" s="76">
        <v>0</v>
      </c>
      <c r="P70" s="76">
        <v>0</v>
      </c>
      <c r="Q70" s="76">
        <v>0</v>
      </c>
      <c r="R70" s="76">
        <v>0</v>
      </c>
      <c r="S70" s="76">
        <v>0</v>
      </c>
      <c r="T70" s="76">
        <v>0</v>
      </c>
      <c r="U70" s="76">
        <v>0</v>
      </c>
      <c r="V70" s="76">
        <v>0</v>
      </c>
    </row>
    <row r="73" spans="2:22" ht="15">
      <c r="B73" s="76" t="s">
        <v>157</v>
      </c>
      <c r="C73" s="76">
        <v>-265909.0909090908</v>
      </c>
      <c r="D73" s="76">
        <v>-507457.62310666195</v>
      </c>
      <c r="E73" s="76">
        <v>94359.63689567917</v>
      </c>
      <c r="F73" s="76">
        <v>430055.3902297928</v>
      </c>
      <c r="G73" s="76">
        <v>101738.78529344895</v>
      </c>
      <c r="H73" s="76">
        <v>534716.5190995573</v>
      </c>
      <c r="I73" s="76">
        <v>140789.12977488933</v>
      </c>
      <c r="J73" s="76">
        <v>0</v>
      </c>
      <c r="K73" s="76">
        <v>0</v>
      </c>
      <c r="L73" s="76">
        <v>0</v>
      </c>
      <c r="M73" s="76">
        <v>0</v>
      </c>
      <c r="N73" s="76">
        <v>0</v>
      </c>
      <c r="O73" s="76">
        <v>0</v>
      </c>
      <c r="P73" s="76">
        <v>0</v>
      </c>
      <c r="Q73" s="76">
        <v>0</v>
      </c>
      <c r="R73" s="76">
        <v>0</v>
      </c>
      <c r="S73" s="76">
        <v>0</v>
      </c>
      <c r="T73" s="76">
        <v>0</v>
      </c>
      <c r="U73" s="76">
        <v>0</v>
      </c>
      <c r="V73" s="76">
        <v>0</v>
      </c>
    </row>
    <row r="75" spans="2:22" ht="15">
      <c r="B75" s="76" t="s">
        <v>14</v>
      </c>
      <c r="C75" s="76">
        <v>-1246130.1818181816</v>
      </c>
      <c r="D75" s="76">
        <v>-851284.5985888706</v>
      </c>
      <c r="E75" s="76">
        <v>-2663.142288939518</v>
      </c>
      <c r="F75" s="76">
        <v>371951.93541653187</v>
      </c>
      <c r="G75" s="76">
        <v>614187.2069596993</v>
      </c>
      <c r="H75" s="76">
        <v>534716.5190995573</v>
      </c>
      <c r="I75" s="76">
        <v>140789.12977488933</v>
      </c>
      <c r="J75" s="76">
        <v>0</v>
      </c>
      <c r="K75" s="76">
        <v>0</v>
      </c>
      <c r="L75" s="76">
        <v>0</v>
      </c>
      <c r="M75" s="76">
        <v>0</v>
      </c>
      <c r="N75" s="76">
        <v>0</v>
      </c>
      <c r="O75" s="76">
        <v>0</v>
      </c>
      <c r="P75" s="76">
        <v>0</v>
      </c>
      <c r="Q75" s="76">
        <v>0</v>
      </c>
      <c r="R75" s="76">
        <v>0</v>
      </c>
      <c r="S75" s="76">
        <v>0</v>
      </c>
      <c r="T75" s="76">
        <v>0</v>
      </c>
      <c r="U75" s="76">
        <v>0</v>
      </c>
      <c r="V75" s="76">
        <v>0</v>
      </c>
    </row>
  </sheetData>
  <sheetProtection password="CFB3" sheet="1"/>
  <printOptions/>
  <pageMargins left="0.75" right="0.75" top="1" bottom="1"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codeName="Sheet12"/>
  <dimension ref="B3:Q58"/>
  <sheetViews>
    <sheetView zoomScale="90" zoomScaleNormal="90" zoomScalePageLayoutView="90" workbookViewId="0" topLeftCell="A29">
      <selection activeCell="J57" sqref="J57"/>
    </sheetView>
  </sheetViews>
  <sheetFormatPr defaultColWidth="8.8515625" defaultRowHeight="15"/>
  <cols>
    <col min="1" max="1" width="8.8515625" style="0" customWidth="1"/>
    <col min="2" max="2" width="35.00390625" style="0" bestFit="1" customWidth="1"/>
    <col min="3" max="3" width="18.421875" style="0" customWidth="1"/>
    <col min="4" max="4" width="17.421875" style="0" customWidth="1"/>
    <col min="5" max="5" width="19.421875" style="0" customWidth="1"/>
    <col min="6" max="6" width="12.00390625" style="0" bestFit="1" customWidth="1"/>
    <col min="7" max="7" width="11.00390625" style="0" bestFit="1" customWidth="1"/>
    <col min="8" max="8" width="11.140625" style="0" bestFit="1" customWidth="1"/>
    <col min="9" max="10" width="11.140625" style="0" customWidth="1"/>
    <col min="11" max="11" width="7.00390625" style="0" customWidth="1"/>
    <col min="12" max="12" width="9.421875" style="0" customWidth="1"/>
    <col min="13" max="13" width="49.7109375" style="0" customWidth="1"/>
    <col min="14" max="14" width="8.8515625" style="0" customWidth="1"/>
    <col min="15" max="15" width="16.8515625" style="0" bestFit="1" customWidth="1"/>
    <col min="16" max="16" width="6.7109375" style="0" bestFit="1" customWidth="1"/>
    <col min="17" max="17" width="12.140625" style="0" customWidth="1"/>
    <col min="18" max="19" width="10.421875" style="0" bestFit="1" customWidth="1"/>
  </cols>
  <sheetData>
    <row r="2" ht="15.75" thickBot="1"/>
    <row r="3" spans="2:5" ht="15">
      <c r="B3" s="196" t="s">
        <v>267</v>
      </c>
      <c r="C3" s="217" t="s">
        <v>4</v>
      </c>
      <c r="D3" s="349" t="s">
        <v>0</v>
      </c>
      <c r="E3" s="234"/>
    </row>
    <row r="4" spans="2:5" ht="15.75" thickBot="1">
      <c r="B4" s="226"/>
      <c r="C4" s="471"/>
      <c r="D4" s="472"/>
      <c r="E4" s="473"/>
    </row>
    <row r="5" spans="2:10" ht="15.75" thickBot="1">
      <c r="B5" s="226" t="s">
        <v>141</v>
      </c>
      <c r="C5" s="453">
        <v>1950</v>
      </c>
      <c r="D5" s="350"/>
      <c r="E5" s="230">
        <f>C5</f>
        <v>1950</v>
      </c>
      <c r="H5" s="352"/>
      <c r="I5" s="352"/>
      <c r="J5" s="352"/>
    </row>
    <row r="6" spans="2:10" ht="15.75" customHeight="1" thickBot="1">
      <c r="B6" s="226" t="s">
        <v>142</v>
      </c>
      <c r="C6" s="453">
        <v>1950</v>
      </c>
      <c r="D6" s="454"/>
      <c r="E6" s="230">
        <f>IF(ISBLANK(D6),C6,D6)</f>
        <v>1950</v>
      </c>
      <c r="H6" s="303"/>
      <c r="I6" s="303"/>
      <c r="J6" s="303"/>
    </row>
    <row r="7" spans="2:5" ht="15.75" thickBot="1">
      <c r="B7" s="229"/>
      <c r="C7" s="237"/>
      <c r="D7" s="235"/>
      <c r="E7" s="236"/>
    </row>
    <row r="8" ht="15.75" thickBot="1"/>
    <row r="9" spans="2:8" ht="15.75" thickBot="1">
      <c r="B9" s="14" t="s">
        <v>139</v>
      </c>
      <c r="C9" s="356" t="s">
        <v>4</v>
      </c>
      <c r="D9" s="357"/>
      <c r="E9" s="353" t="s">
        <v>0</v>
      </c>
      <c r="F9" s="221"/>
      <c r="G9" s="221"/>
      <c r="H9" s="222"/>
    </row>
    <row r="10" spans="2:13" ht="30.75" thickBot="1">
      <c r="B10" s="11"/>
      <c r="C10" s="227" t="s">
        <v>133</v>
      </c>
      <c r="D10" s="359" t="s">
        <v>134</v>
      </c>
      <c r="E10" s="224" t="s">
        <v>133</v>
      </c>
      <c r="F10" s="224" t="s">
        <v>134</v>
      </c>
      <c r="G10" s="224"/>
      <c r="H10" s="225"/>
      <c r="L10" s="529" t="s">
        <v>112</v>
      </c>
      <c r="M10" s="530"/>
    </row>
    <row r="11" spans="2:13" ht="15.75" thickBot="1">
      <c r="B11" s="358" t="s">
        <v>113</v>
      </c>
      <c r="C11" s="455">
        <v>1.33</v>
      </c>
      <c r="D11" s="456"/>
      <c r="E11" s="351">
        <f>IF(C11&gt;0,C11,"")</f>
        <v>1.33</v>
      </c>
      <c r="F11" s="351">
        <f>IF(D11&gt;0,D11,"")</f>
      </c>
      <c r="G11" s="231">
        <f>IF($E$5&gt;0,C11,"")</f>
        <v>1.33</v>
      </c>
      <c r="H11" s="232">
        <f>IF($E$5&gt;0,"",D11)</f>
      </c>
      <c r="L11" s="245">
        <v>1.33</v>
      </c>
      <c r="M11" s="246"/>
    </row>
    <row r="12" spans="2:13" ht="15.75" thickBot="1">
      <c r="B12" s="358" t="s">
        <v>114</v>
      </c>
      <c r="C12" s="455">
        <v>8.46</v>
      </c>
      <c r="D12" s="456"/>
      <c r="E12" s="351">
        <f aca="true" t="shared" si="0" ref="E12:E20">IF(C12&gt;0,C12,"")</f>
        <v>8.46</v>
      </c>
      <c r="F12" s="351">
        <f aca="true" t="shared" si="1" ref="F12:F20">IF(D12&gt;0,D12,"")</f>
      </c>
      <c r="G12" s="231">
        <f aca="true" t="shared" si="2" ref="G12:G20">IF($E$5&gt;0,C12,"")</f>
        <v>8.46</v>
      </c>
      <c r="H12" s="232">
        <f aca="true" t="shared" si="3" ref="H12:H20">IF($E$5&gt;0,"",D12)</f>
      </c>
      <c r="L12" s="245">
        <v>8.46</v>
      </c>
      <c r="M12" s="246" t="s">
        <v>115</v>
      </c>
    </row>
    <row r="13" spans="2:13" ht="15.75" thickBot="1">
      <c r="B13" s="358" t="s">
        <v>116</v>
      </c>
      <c r="C13" s="455">
        <v>17.89</v>
      </c>
      <c r="D13" s="456"/>
      <c r="E13" s="351">
        <f t="shared" si="0"/>
        <v>17.89</v>
      </c>
      <c r="F13" s="351">
        <f t="shared" si="1"/>
      </c>
      <c r="G13" s="231">
        <f t="shared" si="2"/>
        <v>17.89</v>
      </c>
      <c r="H13" s="232">
        <f t="shared" si="3"/>
      </c>
      <c r="L13" s="245">
        <v>17.89</v>
      </c>
      <c r="M13" s="246" t="s">
        <v>117</v>
      </c>
    </row>
    <row r="14" spans="2:13" ht="15.75" thickBot="1">
      <c r="B14" s="358" t="s">
        <v>118</v>
      </c>
      <c r="C14" s="455">
        <v>21.58</v>
      </c>
      <c r="D14" s="456"/>
      <c r="E14" s="351">
        <f t="shared" si="0"/>
        <v>21.58</v>
      </c>
      <c r="F14" s="351">
        <f t="shared" si="1"/>
      </c>
      <c r="G14" s="231">
        <f t="shared" si="2"/>
        <v>21.58</v>
      </c>
      <c r="H14" s="232">
        <f t="shared" si="3"/>
      </c>
      <c r="L14" s="245">
        <v>21.58</v>
      </c>
      <c r="M14" s="246" t="s">
        <v>119</v>
      </c>
    </row>
    <row r="15" spans="2:13" ht="15.75" thickBot="1">
      <c r="B15" s="358" t="s">
        <v>120</v>
      </c>
      <c r="C15" s="455">
        <v>2.59</v>
      </c>
      <c r="D15" s="456"/>
      <c r="E15" s="351">
        <f t="shared" si="0"/>
        <v>2.59</v>
      </c>
      <c r="F15" s="351">
        <f t="shared" si="1"/>
      </c>
      <c r="G15" s="231">
        <f t="shared" si="2"/>
        <v>2.59</v>
      </c>
      <c r="H15" s="232">
        <f t="shared" si="3"/>
      </c>
      <c r="L15" s="245">
        <v>2.59</v>
      </c>
      <c r="M15" s="246" t="s">
        <v>121</v>
      </c>
    </row>
    <row r="16" spans="2:13" ht="15.75" thickBot="1">
      <c r="B16" s="358" t="s">
        <v>122</v>
      </c>
      <c r="C16" s="455">
        <v>31.11</v>
      </c>
      <c r="D16" s="456"/>
      <c r="E16" s="351">
        <f t="shared" si="0"/>
        <v>31.11</v>
      </c>
      <c r="F16" s="351">
        <f t="shared" si="1"/>
      </c>
      <c r="G16" s="231">
        <f t="shared" si="2"/>
        <v>31.11</v>
      </c>
      <c r="H16" s="232">
        <f t="shared" si="3"/>
      </c>
      <c r="L16" s="245">
        <v>31.11</v>
      </c>
      <c r="M16" s="246" t="s">
        <v>123</v>
      </c>
    </row>
    <row r="17" spans="2:13" ht="15.75" thickBot="1">
      <c r="B17" s="358" t="s">
        <v>124</v>
      </c>
      <c r="C17" s="455">
        <v>5.15</v>
      </c>
      <c r="D17" s="456"/>
      <c r="E17" s="351">
        <f t="shared" si="0"/>
        <v>5.15</v>
      </c>
      <c r="F17" s="351">
        <f t="shared" si="1"/>
      </c>
      <c r="G17" s="231">
        <f t="shared" si="2"/>
        <v>5.15</v>
      </c>
      <c r="H17" s="232">
        <f t="shared" si="3"/>
      </c>
      <c r="L17" s="245">
        <v>5.15</v>
      </c>
      <c r="M17" s="246" t="s">
        <v>125</v>
      </c>
    </row>
    <row r="18" spans="2:13" ht="15.75" thickBot="1">
      <c r="B18" s="358" t="s">
        <v>126</v>
      </c>
      <c r="C18" s="455">
        <v>6.89</v>
      </c>
      <c r="D18" s="456"/>
      <c r="E18" s="351">
        <f t="shared" si="0"/>
        <v>6.89</v>
      </c>
      <c r="F18" s="351">
        <f t="shared" si="1"/>
      </c>
      <c r="G18" s="231">
        <f t="shared" si="2"/>
        <v>6.89</v>
      </c>
      <c r="H18" s="232">
        <f t="shared" si="3"/>
      </c>
      <c r="L18" s="245">
        <v>6.89</v>
      </c>
      <c r="M18" s="246" t="s">
        <v>127</v>
      </c>
    </row>
    <row r="19" spans="2:13" ht="15.75" thickBot="1">
      <c r="B19" s="358" t="s">
        <v>17</v>
      </c>
      <c r="C19" s="455">
        <v>3.99</v>
      </c>
      <c r="D19" s="456"/>
      <c r="E19" s="351">
        <f t="shared" si="0"/>
        <v>3.99</v>
      </c>
      <c r="F19" s="351">
        <f t="shared" si="1"/>
      </c>
      <c r="G19" s="231">
        <f t="shared" si="2"/>
        <v>3.99</v>
      </c>
      <c r="H19" s="232">
        <f t="shared" si="3"/>
      </c>
      <c r="L19" s="245">
        <v>3.99</v>
      </c>
      <c r="M19" s="246"/>
    </row>
    <row r="20" spans="2:13" ht="15.75" thickBot="1">
      <c r="B20" s="358" t="s">
        <v>15</v>
      </c>
      <c r="C20" s="455">
        <v>0</v>
      </c>
      <c r="D20" s="456"/>
      <c r="E20" s="351">
        <f t="shared" si="0"/>
      </c>
      <c r="F20" s="351">
        <f t="shared" si="1"/>
      </c>
      <c r="G20" s="231">
        <f t="shared" si="2"/>
        <v>0</v>
      </c>
      <c r="H20" s="232">
        <f t="shared" si="3"/>
      </c>
      <c r="L20" s="245"/>
      <c r="M20" s="246"/>
    </row>
    <row r="21" spans="2:13" ht="15.75" thickBot="1">
      <c r="B21" s="360"/>
      <c r="C21" s="361"/>
      <c r="D21" s="362"/>
      <c r="E21" s="235"/>
      <c r="F21" s="235"/>
      <c r="G21" s="254"/>
      <c r="H21" s="236"/>
      <c r="L21" s="245"/>
      <c r="M21" s="246"/>
    </row>
    <row r="22" spans="2:15" ht="15" customHeight="1">
      <c r="B22" s="198" t="s">
        <v>138</v>
      </c>
      <c r="C22" s="354"/>
      <c r="D22" s="355"/>
      <c r="E22" s="255"/>
      <c r="F22" s="255"/>
      <c r="G22" s="256"/>
      <c r="H22" s="257"/>
      <c r="L22" s="245"/>
      <c r="M22" s="246"/>
      <c r="O22" s="252"/>
    </row>
    <row r="23" spans="2:13" ht="15.75" customHeight="1" thickBot="1">
      <c r="B23" s="198"/>
      <c r="C23" s="227" t="s">
        <v>133</v>
      </c>
      <c r="D23" s="228" t="s">
        <v>134</v>
      </c>
      <c r="E23" s="223" t="s">
        <v>133</v>
      </c>
      <c r="F23" s="224" t="s">
        <v>134</v>
      </c>
      <c r="G23" s="224"/>
      <c r="H23" s="225"/>
      <c r="L23" s="245"/>
      <c r="M23" s="246"/>
    </row>
    <row r="24" spans="2:13" ht="15.75" thickBot="1">
      <c r="B24" s="226" t="s">
        <v>113</v>
      </c>
      <c r="C24" s="455">
        <v>1.33</v>
      </c>
      <c r="D24" s="457"/>
      <c r="E24" s="454"/>
      <c r="F24" s="454"/>
      <c r="G24" s="231">
        <f aca="true" t="shared" si="4" ref="G24:G33">IF($E$5&gt;0,IF(ISBLANK(E24),C24,E24),"")</f>
        <v>1.33</v>
      </c>
      <c r="H24" s="232">
        <f aca="true" t="shared" si="5" ref="H24:H33">IF($E$5&gt;0,"",IF(ISBLANK(F24),D24,F24))</f>
      </c>
      <c r="L24" s="245"/>
      <c r="M24" s="246"/>
    </row>
    <row r="25" spans="2:13" ht="15.75" thickBot="1">
      <c r="B25" s="226" t="s">
        <v>114</v>
      </c>
      <c r="C25" s="455">
        <v>8.46</v>
      </c>
      <c r="D25" s="457"/>
      <c r="E25" s="454"/>
      <c r="F25" s="454"/>
      <c r="G25" s="231">
        <f t="shared" si="4"/>
        <v>8.46</v>
      </c>
      <c r="H25" s="232">
        <f t="shared" si="5"/>
      </c>
      <c r="L25" s="245"/>
      <c r="M25" s="246"/>
    </row>
    <row r="26" spans="2:13" ht="15.75" thickBot="1">
      <c r="B26" s="226" t="s">
        <v>116</v>
      </c>
      <c r="C26" s="455">
        <v>17.89</v>
      </c>
      <c r="D26" s="457"/>
      <c r="E26" s="454"/>
      <c r="F26" s="454"/>
      <c r="G26" s="231">
        <f t="shared" si="4"/>
        <v>17.89</v>
      </c>
      <c r="H26" s="232">
        <f t="shared" si="5"/>
      </c>
      <c r="L26" s="245"/>
      <c r="M26" s="246"/>
    </row>
    <row r="27" spans="2:13" ht="15.75" thickBot="1">
      <c r="B27" s="226" t="s">
        <v>118</v>
      </c>
      <c r="C27" s="455">
        <v>21.58</v>
      </c>
      <c r="D27" s="457"/>
      <c r="E27" s="454"/>
      <c r="F27" s="454"/>
      <c r="G27" s="231">
        <f t="shared" si="4"/>
        <v>21.58</v>
      </c>
      <c r="H27" s="232">
        <f t="shared" si="5"/>
      </c>
      <c r="L27" s="245"/>
      <c r="M27" s="246"/>
    </row>
    <row r="28" spans="2:13" ht="15.75" thickBot="1">
      <c r="B28" s="226" t="s">
        <v>120</v>
      </c>
      <c r="C28" s="455">
        <v>2.59</v>
      </c>
      <c r="D28" s="457"/>
      <c r="E28" s="454"/>
      <c r="F28" s="454"/>
      <c r="G28" s="231">
        <f t="shared" si="4"/>
        <v>2.59</v>
      </c>
      <c r="H28" s="232">
        <f t="shared" si="5"/>
      </c>
      <c r="L28" s="245"/>
      <c r="M28" s="246"/>
    </row>
    <row r="29" spans="2:13" ht="15.75" thickBot="1">
      <c r="B29" s="226" t="s">
        <v>122</v>
      </c>
      <c r="C29" s="455">
        <v>31.11</v>
      </c>
      <c r="D29" s="457"/>
      <c r="E29" s="454"/>
      <c r="F29" s="454"/>
      <c r="G29" s="231">
        <f t="shared" si="4"/>
        <v>31.11</v>
      </c>
      <c r="H29" s="232">
        <f t="shared" si="5"/>
      </c>
      <c r="L29" s="245"/>
      <c r="M29" s="246"/>
    </row>
    <row r="30" spans="2:17" ht="15.75" thickBot="1">
      <c r="B30" s="226" t="s">
        <v>124</v>
      </c>
      <c r="C30" s="455">
        <v>5.15</v>
      </c>
      <c r="D30" s="457"/>
      <c r="E30" s="454"/>
      <c r="F30" s="454"/>
      <c r="G30" s="231">
        <f t="shared" si="4"/>
        <v>5.15</v>
      </c>
      <c r="H30" s="232">
        <f t="shared" si="5"/>
      </c>
      <c r="L30" s="245"/>
      <c r="M30" s="246"/>
      <c r="Q30" s="307"/>
    </row>
    <row r="31" spans="2:13" ht="15.75" thickBot="1">
      <c r="B31" s="226" t="s">
        <v>126</v>
      </c>
      <c r="C31" s="455">
        <v>6.89</v>
      </c>
      <c r="D31" s="457"/>
      <c r="E31" s="454"/>
      <c r="F31" s="454"/>
      <c r="G31" s="231">
        <f t="shared" si="4"/>
        <v>6.89</v>
      </c>
      <c r="H31" s="232">
        <f t="shared" si="5"/>
      </c>
      <c r="L31" s="245"/>
      <c r="M31" s="246"/>
    </row>
    <row r="32" spans="2:13" ht="15.75" thickBot="1">
      <c r="B32" s="226" t="s">
        <v>17</v>
      </c>
      <c r="C32" s="455">
        <v>3.99</v>
      </c>
      <c r="D32" s="457"/>
      <c r="E32" s="454"/>
      <c r="F32" s="454"/>
      <c r="G32" s="231">
        <f t="shared" si="4"/>
        <v>3.99</v>
      </c>
      <c r="H32" s="232">
        <f t="shared" si="5"/>
      </c>
      <c r="L32" s="245"/>
      <c r="M32" s="246"/>
    </row>
    <row r="33" spans="2:13" ht="15.75" thickBot="1">
      <c r="B33" s="226" t="s">
        <v>15</v>
      </c>
      <c r="C33" s="455">
        <v>0</v>
      </c>
      <c r="D33" s="457"/>
      <c r="E33" s="454"/>
      <c r="F33" s="454"/>
      <c r="G33" s="231">
        <f t="shared" si="4"/>
        <v>0</v>
      </c>
      <c r="H33" s="232">
        <f t="shared" si="5"/>
      </c>
      <c r="L33" s="245"/>
      <c r="M33" s="246"/>
    </row>
    <row r="34" spans="2:13" ht="15.75" thickBot="1">
      <c r="B34" s="229"/>
      <c r="C34" s="253"/>
      <c r="D34" s="237"/>
      <c r="E34" s="235"/>
      <c r="F34" s="235"/>
      <c r="G34" s="254"/>
      <c r="H34" s="236"/>
      <c r="L34" s="245"/>
      <c r="M34" s="246"/>
    </row>
    <row r="35" spans="12:13" ht="15" customHeight="1" thickBot="1">
      <c r="L35" s="245"/>
      <c r="M35" s="246"/>
    </row>
    <row r="36" spans="2:13" ht="13.5" customHeight="1">
      <c r="B36" s="14" t="s">
        <v>128</v>
      </c>
      <c r="C36" s="387"/>
      <c r="D36" s="388"/>
      <c r="E36" s="389"/>
      <c r="F36" s="389"/>
      <c r="G36" s="390"/>
      <c r="H36" s="391"/>
      <c r="L36" s="531" t="s">
        <v>161</v>
      </c>
      <c r="M36" s="532"/>
    </row>
    <row r="37" spans="2:13" ht="18" customHeight="1" thickBot="1">
      <c r="B37" s="11"/>
      <c r="C37" s="227" t="s">
        <v>132</v>
      </c>
      <c r="D37" s="474" t="s">
        <v>134</v>
      </c>
      <c r="E37" s="475" t="s">
        <v>132</v>
      </c>
      <c r="F37" s="475" t="s">
        <v>134</v>
      </c>
      <c r="G37" s="476"/>
      <c r="H37" s="393"/>
      <c r="L37" s="466"/>
      <c r="M37" s="467"/>
    </row>
    <row r="38" spans="2:13" ht="30.75" thickBot="1">
      <c r="B38" s="392" t="s">
        <v>250</v>
      </c>
      <c r="C38" s="458">
        <v>0.046</v>
      </c>
      <c r="D38" s="457"/>
      <c r="E38" s="459"/>
      <c r="F38" s="460"/>
      <c r="G38" s="233">
        <f aca="true" t="shared" si="6" ref="G38:G43">IF(D38&gt;0,"",IF(ISBLANK(E38),C38,E38))</f>
        <v>0.046</v>
      </c>
      <c r="H38" s="393">
        <f aca="true" t="shared" si="7" ref="H38:H43">IF(ISBLANK(D38),"",IF(ISBLANK(F38),D38,F38))</f>
      </c>
      <c r="L38" s="247">
        <v>0.046</v>
      </c>
      <c r="M38" s="246"/>
    </row>
    <row r="39" spans="2:13" ht="15.75" customHeight="1" thickBot="1">
      <c r="B39" s="358" t="s">
        <v>129</v>
      </c>
      <c r="C39" s="458">
        <v>0.014</v>
      </c>
      <c r="D39" s="457"/>
      <c r="E39" s="459"/>
      <c r="F39" s="460"/>
      <c r="G39" s="233">
        <f t="shared" si="6"/>
        <v>0.014</v>
      </c>
      <c r="H39" s="393">
        <f t="shared" si="7"/>
      </c>
      <c r="L39" s="247">
        <v>0.014</v>
      </c>
      <c r="M39" s="363" t="s">
        <v>137</v>
      </c>
    </row>
    <row r="40" spans="2:13" ht="15.75" thickBot="1">
      <c r="B40" s="358" t="s">
        <v>130</v>
      </c>
      <c r="C40" s="458">
        <v>0.053</v>
      </c>
      <c r="D40" s="457"/>
      <c r="E40" s="459"/>
      <c r="F40" s="460"/>
      <c r="G40" s="233">
        <f t="shared" si="6"/>
        <v>0.053</v>
      </c>
      <c r="H40" s="393">
        <f t="shared" si="7"/>
      </c>
      <c r="L40" s="247">
        <v>0.053</v>
      </c>
      <c r="M40" s="246"/>
    </row>
    <row r="41" spans="2:13" ht="15.75" thickBot="1">
      <c r="B41" s="358" t="s">
        <v>131</v>
      </c>
      <c r="C41" s="458">
        <v>0.051</v>
      </c>
      <c r="D41" s="457"/>
      <c r="E41" s="459"/>
      <c r="F41" s="460"/>
      <c r="G41" s="233">
        <f t="shared" si="6"/>
        <v>0.051</v>
      </c>
      <c r="H41" s="393">
        <f t="shared" si="7"/>
      </c>
      <c r="L41" s="247">
        <v>0.051</v>
      </c>
      <c r="M41" s="246"/>
    </row>
    <row r="42" spans="2:13" ht="15.75" thickBot="1">
      <c r="B42" s="358" t="s">
        <v>105</v>
      </c>
      <c r="C42" s="458">
        <v>0.01</v>
      </c>
      <c r="D42" s="457"/>
      <c r="E42" s="459"/>
      <c r="F42" s="460"/>
      <c r="G42" s="233">
        <f t="shared" si="6"/>
        <v>0.01</v>
      </c>
      <c r="H42" s="393">
        <f t="shared" si="7"/>
      </c>
      <c r="L42" s="247"/>
      <c r="M42" s="246"/>
    </row>
    <row r="43" spans="2:13" ht="15.75" thickBot="1">
      <c r="B43" s="358" t="s">
        <v>15</v>
      </c>
      <c r="C43" s="458">
        <v>0</v>
      </c>
      <c r="D43" s="457"/>
      <c r="E43" s="459"/>
      <c r="F43" s="460"/>
      <c r="G43" s="233">
        <f t="shared" si="6"/>
        <v>0</v>
      </c>
      <c r="H43" s="393">
        <f t="shared" si="7"/>
      </c>
      <c r="L43" s="247"/>
      <c r="M43" s="246"/>
    </row>
    <row r="44" spans="2:13" ht="15.75" thickBot="1">
      <c r="B44" s="360"/>
      <c r="C44" s="394"/>
      <c r="D44" s="395"/>
      <c r="E44" s="396"/>
      <c r="F44" s="397"/>
      <c r="G44" s="397"/>
      <c r="H44" s="398"/>
      <c r="L44" s="247"/>
      <c r="M44" s="246"/>
    </row>
    <row r="45" spans="12:14" ht="15.75" thickBot="1">
      <c r="L45" s="247" t="s">
        <v>149</v>
      </c>
      <c r="M45" s="246"/>
      <c r="N45" s="252"/>
    </row>
    <row r="46" spans="2:13" ht="15.75" customHeight="1" thickBot="1">
      <c r="B46" s="242"/>
      <c r="C46" s="250"/>
      <c r="D46" s="243"/>
      <c r="L46" s="247">
        <v>0.107</v>
      </c>
      <c r="M46" s="363" t="s">
        <v>137</v>
      </c>
    </row>
    <row r="47" spans="2:13" ht="15.75" thickBot="1">
      <c r="B47" s="198" t="s">
        <v>149</v>
      </c>
      <c r="C47" s="450">
        <v>0.107</v>
      </c>
      <c r="D47" s="219"/>
      <c r="G47" s="303"/>
      <c r="H47" s="303"/>
      <c r="L47" s="248"/>
      <c r="M47" s="249"/>
    </row>
    <row r="48" spans="2:12" ht="15.75" thickBot="1">
      <c r="B48" s="202"/>
      <c r="C48" s="251"/>
      <c r="D48" s="244"/>
      <c r="H48" s="303"/>
      <c r="L48" s="220"/>
    </row>
    <row r="49" spans="12:13" ht="15.75" thickBot="1">
      <c r="L49" s="527" t="s">
        <v>196</v>
      </c>
      <c r="M49" s="528"/>
    </row>
    <row r="50" spans="2:13" ht="15">
      <c r="B50" s="164"/>
      <c r="C50" s="516" t="s">
        <v>4</v>
      </c>
      <c r="D50" s="517"/>
      <c r="E50" s="519" t="s">
        <v>0</v>
      </c>
      <c r="F50" s="517"/>
      <c r="L50" s="336">
        <v>0.0695</v>
      </c>
      <c r="M50" s="335" t="s">
        <v>190</v>
      </c>
    </row>
    <row r="51" spans="2:13" ht="15.75" thickBot="1">
      <c r="B51" s="308"/>
      <c r="C51" s="309" t="s">
        <v>79</v>
      </c>
      <c r="D51" s="302" t="s">
        <v>80</v>
      </c>
      <c r="E51" s="301" t="s">
        <v>79</v>
      </c>
      <c r="F51" s="302" t="s">
        <v>80</v>
      </c>
      <c r="L51" s="336">
        <v>0.1099</v>
      </c>
      <c r="M51" s="335" t="s">
        <v>191</v>
      </c>
    </row>
    <row r="52" spans="2:17" ht="15">
      <c r="B52" s="276" t="s">
        <v>140</v>
      </c>
      <c r="C52" s="277">
        <f>C5*SUM(C11:C20)+SUM(D11:D20)</f>
        <v>193030.5</v>
      </c>
      <c r="D52" s="278">
        <f>C6*SUM(C24:C33)+SUM(D24:D33)</f>
        <v>193030.5</v>
      </c>
      <c r="E52" s="312">
        <f>E5*SUM(G11:G20)+SUM(H11:H20)</f>
        <v>193030.5</v>
      </c>
      <c r="F52" s="286">
        <f>E6*SUM(G24:G33)+SUM(H24:H33)</f>
        <v>193030.5</v>
      </c>
      <c r="L52" s="336">
        <v>0.0927</v>
      </c>
      <c r="M52" s="335" t="s">
        <v>189</v>
      </c>
      <c r="O52" s="307"/>
      <c r="P52" s="307"/>
      <c r="Q52" s="307"/>
    </row>
    <row r="53" spans="2:17" ht="15" customHeight="1">
      <c r="B53" s="39" t="s">
        <v>128</v>
      </c>
      <c r="C53" s="304">
        <f>SUM(C38:C43)*'Con Sales'!C24+SUM(D38:D43)</f>
        <v>64379.99999999999</v>
      </c>
      <c r="D53" s="305">
        <f>SUM(C38:C43)*'Con Sales'!C25+SUM(D38:D43)</f>
        <v>46980</v>
      </c>
      <c r="E53" s="313">
        <f>SUM(G38:G43)*'Con Sales'!D24+SUM(H38:H43)</f>
        <v>65098.69565217391</v>
      </c>
      <c r="F53" s="306">
        <f>SUM(G38:G43)*'Con Sales'!D25+SUM(H38:H43)</f>
        <v>46980</v>
      </c>
      <c r="L53" s="336">
        <v>0.0869</v>
      </c>
      <c r="M53" s="335" t="s">
        <v>192</v>
      </c>
      <c r="P53" s="307"/>
      <c r="Q53" s="307"/>
    </row>
    <row r="54" spans="2:13" ht="15.75" thickBot="1">
      <c r="B54" s="310" t="s">
        <v>51</v>
      </c>
      <c r="C54" s="311">
        <f>C52+C53</f>
        <v>257410.5</v>
      </c>
      <c r="D54" s="314">
        <f>D52+D53</f>
        <v>240010.5</v>
      </c>
      <c r="E54" s="315">
        <f>E52+E53</f>
        <v>258129.19565217392</v>
      </c>
      <c r="F54" s="314">
        <f>F52+F53</f>
        <v>240010.5</v>
      </c>
      <c r="L54" s="336">
        <v>0.089</v>
      </c>
      <c r="M54" s="335" t="s">
        <v>193</v>
      </c>
    </row>
    <row r="55" spans="12:13" ht="15">
      <c r="L55" s="336">
        <v>0.1787</v>
      </c>
      <c r="M55" s="335" t="s">
        <v>194</v>
      </c>
    </row>
    <row r="56" spans="12:17" ht="15">
      <c r="L56" s="336">
        <v>0.0164</v>
      </c>
      <c r="M56" s="335" t="s">
        <v>195</v>
      </c>
      <c r="P56" s="307"/>
      <c r="Q56" s="307"/>
    </row>
    <row r="57" spans="12:13" ht="15" customHeight="1">
      <c r="L57" s="365"/>
      <c r="M57" s="364" t="s">
        <v>197</v>
      </c>
    </row>
    <row r="58" spans="4:13" ht="15.75" customHeight="1" thickBot="1">
      <c r="D58" s="303"/>
      <c r="L58" s="337"/>
      <c r="M58" s="338"/>
    </row>
  </sheetData>
  <sheetProtection password="CFB3" sheet="1" objects="1" scenarios="1"/>
  <mergeCells count="5">
    <mergeCell ref="L49:M49"/>
    <mergeCell ref="E50:F50"/>
    <mergeCell ref="C50:D50"/>
    <mergeCell ref="L10:M10"/>
    <mergeCell ref="L36:M36"/>
  </mergeCells>
  <hyperlinks>
    <hyperlink ref="M39" r:id="rId1" display="Cost of Constructing a Home"/>
    <hyperlink ref="M46" r:id="rId2" display="Cost of Constructing a Home"/>
    <hyperlink ref="M57" r:id="rId3" display="Source: Financial-Projections.com"/>
  </hyperlinks>
  <printOptions/>
  <pageMargins left="0.75" right="0.75" top="1" bottom="1" header="0.3" footer="0.3"/>
  <pageSetup orientation="portrait" paperSize="9"/>
  <drawing r:id="rId4"/>
</worksheet>
</file>

<file path=xl/worksheets/sheet13.xml><?xml version="1.0" encoding="utf-8"?>
<worksheet xmlns="http://schemas.openxmlformats.org/spreadsheetml/2006/main" xmlns:r="http://schemas.openxmlformats.org/officeDocument/2006/relationships">
  <sheetPr codeName="Sheet13"/>
  <dimension ref="B3:AC56"/>
  <sheetViews>
    <sheetView zoomScale="90" zoomScaleNormal="90" zoomScalePageLayoutView="85" workbookViewId="0" topLeftCell="A1">
      <selection activeCell="J12" sqref="J12"/>
    </sheetView>
  </sheetViews>
  <sheetFormatPr defaultColWidth="8.8515625" defaultRowHeight="15"/>
  <cols>
    <col min="1" max="1" width="8.8515625" style="76" customWidth="1"/>
    <col min="2" max="2" width="39.00390625" style="76" bestFit="1" customWidth="1"/>
    <col min="3" max="3" width="18.28125" style="76" customWidth="1"/>
    <col min="4" max="4" width="15.00390625" style="76" bestFit="1" customWidth="1"/>
    <col min="5" max="5" width="15.421875" style="76" customWidth="1"/>
    <col min="6" max="6" width="15.421875" style="76" bestFit="1" customWidth="1"/>
    <col min="7" max="7" width="14.7109375" style="76" bestFit="1" customWidth="1"/>
    <col min="8" max="8" width="14.140625" style="76" customWidth="1"/>
    <col min="9" max="9" width="5.7109375" style="76" customWidth="1"/>
    <col min="10" max="11" width="15.421875" style="76" customWidth="1"/>
    <col min="12" max="12" width="6.421875" style="76" customWidth="1"/>
    <col min="13" max="13" width="25.00390625" style="76" bestFit="1" customWidth="1"/>
    <col min="14" max="14" width="17.421875" style="76" bestFit="1" customWidth="1"/>
    <col min="15" max="15" width="16.421875" style="76" bestFit="1" customWidth="1"/>
    <col min="16" max="16384" width="8.8515625" style="76" customWidth="1"/>
  </cols>
  <sheetData>
    <row r="2" ht="15.75" thickBot="1"/>
    <row r="3" spans="2:8" ht="15">
      <c r="B3" s="14" t="s">
        <v>59</v>
      </c>
      <c r="C3" s="25" t="s">
        <v>4</v>
      </c>
      <c r="D3" s="26" t="s">
        <v>0</v>
      </c>
      <c r="E3" s="77"/>
      <c r="G3" s="204" t="s">
        <v>82</v>
      </c>
      <c r="H3" s="206"/>
    </row>
    <row r="4" spans="2:8" ht="15.75" thickBot="1">
      <c r="B4" s="78"/>
      <c r="C4" s="79"/>
      <c r="D4" s="80"/>
      <c r="E4" s="81"/>
      <c r="G4" s="207"/>
      <c r="H4" s="209"/>
    </row>
    <row r="5" spans="2:8" ht="15.75" thickBot="1">
      <c r="B5" s="82" t="s">
        <v>181</v>
      </c>
      <c r="C5" s="441">
        <v>0.8</v>
      </c>
      <c r="D5" s="442"/>
      <c r="E5" s="89">
        <f>IF(ISBLANK(D5),C5,D5)</f>
        <v>0.8</v>
      </c>
      <c r="G5" s="207" t="s">
        <v>213</v>
      </c>
      <c r="H5" s="213">
        <v>0.8456</v>
      </c>
    </row>
    <row r="6" spans="2:8" ht="15.75" thickBot="1">
      <c r="B6" s="82"/>
      <c r="C6" s="90"/>
      <c r="D6" s="91"/>
      <c r="E6" s="89"/>
      <c r="G6" s="207"/>
      <c r="H6" s="213"/>
    </row>
    <row r="7" spans="2:8" ht="15.75" thickBot="1">
      <c r="B7" s="82" t="s">
        <v>11</v>
      </c>
      <c r="C7" s="441">
        <v>0.045</v>
      </c>
      <c r="D7" s="442"/>
      <c r="E7" s="89">
        <f>IF(ISBLANK(D7),'Con Financing'!C7,D7)</f>
        <v>0.045</v>
      </c>
      <c r="G7" s="207" t="s">
        <v>11</v>
      </c>
      <c r="H7" s="213">
        <v>0.0621</v>
      </c>
    </row>
    <row r="8" spans="2:8" ht="15.75" thickBot="1">
      <c r="B8" s="82" t="s">
        <v>211</v>
      </c>
      <c r="C8" s="441">
        <v>0.01</v>
      </c>
      <c r="D8" s="442"/>
      <c r="E8" s="89">
        <f>IF(ISBLANK(D8),'Con Financing'!C8,D8)</f>
        <v>0.01</v>
      </c>
      <c r="G8" s="207" t="s">
        <v>91</v>
      </c>
      <c r="H8" s="213">
        <v>0.0071</v>
      </c>
    </row>
    <row r="9" spans="2:29" ht="15.75" thickBot="1">
      <c r="B9" s="97"/>
      <c r="C9" s="98"/>
      <c r="D9" s="99"/>
      <c r="E9" s="100"/>
      <c r="G9" s="214"/>
      <c r="H9" s="216"/>
      <c r="W9" s="93"/>
      <c r="X9" s="93"/>
      <c r="Y9" s="93"/>
      <c r="Z9" s="93"/>
      <c r="AA9" s="93"/>
      <c r="AB9" s="93"/>
      <c r="AC9" s="93"/>
    </row>
    <row r="10" spans="23:29" ht="15">
      <c r="W10" s="93"/>
      <c r="X10" s="93"/>
      <c r="Y10" s="93"/>
      <c r="Z10" s="93"/>
      <c r="AA10" s="93"/>
      <c r="AB10" s="93"/>
      <c r="AC10" s="93"/>
    </row>
    <row r="11" spans="23:29" ht="15">
      <c r="W11" s="93"/>
      <c r="X11" s="93"/>
      <c r="Y11" s="93"/>
      <c r="Z11" s="93"/>
      <c r="AA11" s="93"/>
      <c r="AB11" s="93"/>
      <c r="AC11" s="93"/>
    </row>
    <row r="12" spans="5:29" ht="15.75" thickBot="1">
      <c r="E12" s="101"/>
      <c r="W12" s="93"/>
      <c r="X12" s="93"/>
      <c r="Y12" s="93"/>
      <c r="Z12" s="93"/>
      <c r="AA12" s="93"/>
      <c r="AB12" s="93"/>
      <c r="AC12" s="93"/>
    </row>
    <row r="13" spans="2:8" ht="15">
      <c r="B13" s="14" t="s">
        <v>97</v>
      </c>
      <c r="C13" s="25" t="s">
        <v>4</v>
      </c>
      <c r="D13" s="25"/>
      <c r="E13" s="26" t="s">
        <v>0</v>
      </c>
      <c r="F13" s="28"/>
      <c r="G13" s="28"/>
      <c r="H13" s="102"/>
    </row>
    <row r="14" spans="2:8" ht="15.75" thickBot="1">
      <c r="B14" s="11" t="s">
        <v>98</v>
      </c>
      <c r="C14" s="124" t="s">
        <v>79</v>
      </c>
      <c r="D14" s="124" t="s">
        <v>80</v>
      </c>
      <c r="E14" s="104" t="s">
        <v>79</v>
      </c>
      <c r="F14" s="113" t="s">
        <v>80</v>
      </c>
      <c r="G14" s="113"/>
      <c r="H14" s="105"/>
    </row>
    <row r="15" spans="2:11" ht="15.75" thickBot="1">
      <c r="B15" s="82">
        <v>1</v>
      </c>
      <c r="C15" s="451">
        <v>0.11982082866741321</v>
      </c>
      <c r="D15" s="461">
        <v>0.11982082866741321</v>
      </c>
      <c r="E15" s="444"/>
      <c r="F15" s="452"/>
      <c r="G15" s="238">
        <f>IF(ISBLANK(E15),'Con Financing'!C15,E15)</f>
        <v>0.11982082866741321</v>
      </c>
      <c r="H15" s="106">
        <f>IF(ISBLANK(F15),'Con Financing'!D15,F15)</f>
        <v>0.11982082866741321</v>
      </c>
      <c r="J15" s="239" t="s">
        <v>135</v>
      </c>
      <c r="K15" s="240"/>
    </row>
    <row r="16" spans="2:11" ht="15.75" thickBot="1">
      <c r="B16" s="82">
        <f aca="true" t="shared" si="0" ref="B16:B50">B15+1</f>
        <v>2</v>
      </c>
      <c r="C16" s="451">
        <v>0.14669652855543114</v>
      </c>
      <c r="D16" s="461">
        <v>0.14669652855543114</v>
      </c>
      <c r="E16" s="444"/>
      <c r="F16" s="452"/>
      <c r="G16" s="238">
        <f>IF(ISBLANK(E16),'Con Financing'!C16,E16)</f>
        <v>0.14669652855543114</v>
      </c>
      <c r="H16" s="106">
        <f>IF(ISBLANK(E16),'Con Financing'!C16,E16)</f>
        <v>0.14669652855543114</v>
      </c>
      <c r="J16" s="185" t="s">
        <v>136</v>
      </c>
      <c r="K16" s="188"/>
    </row>
    <row r="17" spans="2:11" ht="15.75" thickBot="1">
      <c r="B17" s="82">
        <f t="shared" si="0"/>
        <v>3</v>
      </c>
      <c r="C17" s="451">
        <v>0.14669652855543114</v>
      </c>
      <c r="D17" s="462">
        <v>0.14669652855543114</v>
      </c>
      <c r="E17" s="444"/>
      <c r="F17" s="452"/>
      <c r="G17" s="238">
        <f>IF(ISBLANK(E17),'Con Financing'!C17,E17)</f>
        <v>0.14669652855543114</v>
      </c>
      <c r="H17" s="106">
        <f>IF(ISBLANK(E17),'Con Financing'!C17,E17)</f>
        <v>0.14669652855543114</v>
      </c>
      <c r="J17" s="185" t="s">
        <v>26</v>
      </c>
      <c r="K17" s="188" t="s">
        <v>81</v>
      </c>
    </row>
    <row r="18" spans="2:11" ht="15.75" thickBot="1">
      <c r="B18" s="82">
        <f t="shared" si="0"/>
        <v>4</v>
      </c>
      <c r="C18" s="451">
        <v>0.14669652855543114</v>
      </c>
      <c r="D18" s="462">
        <v>0.14669652855543114</v>
      </c>
      <c r="E18" s="444"/>
      <c r="F18" s="452"/>
      <c r="G18" s="238">
        <f>IF(ISBLANK(E18),'Con Financing'!C18,E18)</f>
        <v>0.14669652855543114</v>
      </c>
      <c r="H18" s="106">
        <f>IF(ISBLANK(E18),'Con Financing'!C18,E18)</f>
        <v>0.14669652855543114</v>
      </c>
      <c r="J18" s="185">
        <v>1</v>
      </c>
      <c r="K18" s="187">
        <f>'Construction Costs'!C47/(1-'Construction Costs'!C47)</f>
        <v>0.11982082866741321</v>
      </c>
    </row>
    <row r="19" spans="2:11" ht="15.75" thickBot="1">
      <c r="B19" s="82">
        <f t="shared" si="0"/>
        <v>5</v>
      </c>
      <c r="C19" s="451">
        <v>0.14669652855543114</v>
      </c>
      <c r="D19" s="462">
        <v>0.14669652855543114</v>
      </c>
      <c r="E19" s="444"/>
      <c r="F19" s="452"/>
      <c r="G19" s="238">
        <f>IF(ISBLANK(E19),'Con Financing'!C19,E19)</f>
        <v>0.14669652855543114</v>
      </c>
      <c r="H19" s="106">
        <f>IF(ISBLANK(E19),'Con Financing'!C19,E19)</f>
        <v>0.14669652855543114</v>
      </c>
      <c r="J19" s="185">
        <v>2</v>
      </c>
      <c r="K19" s="187">
        <f aca="true" t="shared" si="1" ref="K19:K24">(1-K$18)/6</f>
        <v>0.14669652855543114</v>
      </c>
    </row>
    <row r="20" spans="2:11" ht="15.75" thickBot="1">
      <c r="B20" s="82">
        <f t="shared" si="0"/>
        <v>6</v>
      </c>
      <c r="C20" s="451">
        <v>0.14669652855543114</v>
      </c>
      <c r="D20" s="462">
        <v>0.14669652855543114</v>
      </c>
      <c r="E20" s="444"/>
      <c r="F20" s="452"/>
      <c r="G20" s="238">
        <f>IF(ISBLANK(E20),'Con Financing'!C20,E20)</f>
        <v>0.14669652855543114</v>
      </c>
      <c r="H20" s="106">
        <f>IF(ISBLANK(E20),'Con Financing'!C20,E20)</f>
        <v>0.14669652855543114</v>
      </c>
      <c r="J20" s="185">
        <v>3</v>
      </c>
      <c r="K20" s="187">
        <f t="shared" si="1"/>
        <v>0.14669652855543114</v>
      </c>
    </row>
    <row r="21" spans="2:11" ht="15.75" thickBot="1">
      <c r="B21" s="82">
        <f t="shared" si="0"/>
        <v>7</v>
      </c>
      <c r="C21" s="451">
        <v>0.14669652855543114</v>
      </c>
      <c r="D21" s="462">
        <v>0.14669652855543114</v>
      </c>
      <c r="E21" s="444"/>
      <c r="F21" s="452"/>
      <c r="G21" s="238">
        <f>IF(ISBLANK(E21),'Con Financing'!C21,E21)</f>
        <v>0.14669652855543114</v>
      </c>
      <c r="H21" s="106">
        <f>IF(ISBLANK(E21),'Con Financing'!C21,E21)</f>
        <v>0.14669652855543114</v>
      </c>
      <c r="J21" s="185">
        <v>4</v>
      </c>
      <c r="K21" s="187">
        <f t="shared" si="1"/>
        <v>0.14669652855543114</v>
      </c>
    </row>
    <row r="22" spans="2:11" ht="15.75" thickBot="1">
      <c r="B22" s="82">
        <f t="shared" si="0"/>
        <v>8</v>
      </c>
      <c r="C22" s="451">
        <v>0</v>
      </c>
      <c r="D22" s="462">
        <v>0</v>
      </c>
      <c r="E22" s="444"/>
      <c r="F22" s="452"/>
      <c r="G22" s="238">
        <f>IF(ISBLANK(E22),'Con Financing'!C22,E22)</f>
        <v>0</v>
      </c>
      <c r="H22" s="106">
        <f>IF(ISBLANK(E22),'Con Financing'!C22,E22)</f>
        <v>0</v>
      </c>
      <c r="J22" s="185">
        <v>5</v>
      </c>
      <c r="K22" s="187">
        <f t="shared" si="1"/>
        <v>0.14669652855543114</v>
      </c>
    </row>
    <row r="23" spans="2:11" ht="15.75" thickBot="1">
      <c r="B23" s="82">
        <f t="shared" si="0"/>
        <v>9</v>
      </c>
      <c r="C23" s="451">
        <v>0</v>
      </c>
      <c r="D23" s="462">
        <v>0</v>
      </c>
      <c r="E23" s="444"/>
      <c r="F23" s="452"/>
      <c r="G23" s="238">
        <f>IF(ISBLANK(E23),'Con Financing'!C23,E23)</f>
        <v>0</v>
      </c>
      <c r="H23" s="106">
        <f>IF(ISBLANK(E23),'Con Financing'!C23,E23)</f>
        <v>0</v>
      </c>
      <c r="J23" s="185">
        <v>6</v>
      </c>
      <c r="K23" s="187">
        <f t="shared" si="1"/>
        <v>0.14669652855543114</v>
      </c>
    </row>
    <row r="24" spans="2:11" ht="15.75" thickBot="1">
      <c r="B24" s="82">
        <f t="shared" si="0"/>
        <v>10</v>
      </c>
      <c r="C24" s="451">
        <v>0</v>
      </c>
      <c r="D24" s="462">
        <v>0</v>
      </c>
      <c r="E24" s="444"/>
      <c r="F24" s="452"/>
      <c r="G24" s="238">
        <f>IF(ISBLANK(E24),'Con Financing'!C24,E24)</f>
        <v>0</v>
      </c>
      <c r="H24" s="106">
        <f>IF(ISBLANK(E24),'Con Financing'!C24,E24)</f>
        <v>0</v>
      </c>
      <c r="J24" s="189">
        <v>7</v>
      </c>
      <c r="K24" s="190">
        <f t="shared" si="1"/>
        <v>0.14669652855543114</v>
      </c>
    </row>
    <row r="25" spans="2:8" ht="15.75" thickBot="1">
      <c r="B25" s="82">
        <f t="shared" si="0"/>
        <v>11</v>
      </c>
      <c r="C25" s="451">
        <v>0</v>
      </c>
      <c r="D25" s="462">
        <v>0</v>
      </c>
      <c r="E25" s="444"/>
      <c r="F25" s="452"/>
      <c r="G25" s="238">
        <f>IF(ISBLANK(E25),'Con Financing'!C25,E25)</f>
        <v>0</v>
      </c>
      <c r="H25" s="106">
        <f>IF(ISBLANK(E25),'Con Financing'!C25,E25)</f>
        <v>0</v>
      </c>
    </row>
    <row r="26" spans="2:8" ht="15.75" thickBot="1">
      <c r="B26" s="82">
        <f t="shared" si="0"/>
        <v>12</v>
      </c>
      <c r="C26" s="451">
        <v>0</v>
      </c>
      <c r="D26" s="462">
        <v>0</v>
      </c>
      <c r="E26" s="444"/>
      <c r="F26" s="452"/>
      <c r="G26" s="238">
        <f>IF(ISBLANK(E26),'Con Financing'!C26,E26)</f>
        <v>0</v>
      </c>
      <c r="H26" s="106">
        <f>IF(ISBLANK(E26),'Con Financing'!C26,E26)</f>
        <v>0</v>
      </c>
    </row>
    <row r="27" spans="2:8" ht="15.75" thickBot="1">
      <c r="B27" s="82">
        <f t="shared" si="0"/>
        <v>13</v>
      </c>
      <c r="C27" s="451">
        <v>0</v>
      </c>
      <c r="D27" s="462">
        <v>0</v>
      </c>
      <c r="E27" s="444"/>
      <c r="F27" s="452"/>
      <c r="G27" s="238">
        <f>IF(ISBLANK(E27),'Con Financing'!C27,E27)</f>
        <v>0</v>
      </c>
      <c r="H27" s="106">
        <f>IF(ISBLANK(E27),'Con Financing'!C27,E27)</f>
        <v>0</v>
      </c>
    </row>
    <row r="28" spans="2:8" ht="15.75" thickBot="1">
      <c r="B28" s="82">
        <f t="shared" si="0"/>
        <v>14</v>
      </c>
      <c r="C28" s="451">
        <v>0</v>
      </c>
      <c r="D28" s="462">
        <v>0</v>
      </c>
      <c r="E28" s="444"/>
      <c r="F28" s="452"/>
      <c r="G28" s="238">
        <f>IF(ISBLANK(E28),'Con Financing'!C28,E28)</f>
        <v>0</v>
      </c>
      <c r="H28" s="106">
        <f>IF(ISBLANK(E28),'Con Financing'!C28,E28)</f>
        <v>0</v>
      </c>
    </row>
    <row r="29" spans="2:8" ht="15.75" thickBot="1">
      <c r="B29" s="82">
        <f t="shared" si="0"/>
        <v>15</v>
      </c>
      <c r="C29" s="451">
        <v>0</v>
      </c>
      <c r="D29" s="462">
        <v>0</v>
      </c>
      <c r="E29" s="444"/>
      <c r="F29" s="452"/>
      <c r="G29" s="238">
        <f>IF(ISBLANK(E29),'Con Financing'!C29,E29)</f>
        <v>0</v>
      </c>
      <c r="H29" s="106">
        <f>IF(ISBLANK(E29),'Con Financing'!C29,E29)</f>
        <v>0</v>
      </c>
    </row>
    <row r="30" spans="2:8" ht="15.75" thickBot="1">
      <c r="B30" s="82">
        <f t="shared" si="0"/>
        <v>16</v>
      </c>
      <c r="C30" s="451">
        <v>0</v>
      </c>
      <c r="D30" s="462">
        <v>0</v>
      </c>
      <c r="E30" s="444"/>
      <c r="F30" s="452"/>
      <c r="G30" s="238">
        <f>IF(ISBLANK(E30),'Con Financing'!C30,E30)</f>
        <v>0</v>
      </c>
      <c r="H30" s="106">
        <f>IF(ISBLANK(E30),'Con Financing'!C30,E30)</f>
        <v>0</v>
      </c>
    </row>
    <row r="31" spans="2:8" ht="15.75" thickBot="1">
      <c r="B31" s="82">
        <f t="shared" si="0"/>
        <v>17</v>
      </c>
      <c r="C31" s="451">
        <v>0</v>
      </c>
      <c r="D31" s="462">
        <v>0</v>
      </c>
      <c r="E31" s="444"/>
      <c r="F31" s="452"/>
      <c r="G31" s="238">
        <f>IF(ISBLANK(E31),'Con Financing'!C31,E31)</f>
        <v>0</v>
      </c>
      <c r="H31" s="106">
        <f>IF(ISBLANK(E31),'Con Financing'!C31,E31)</f>
        <v>0</v>
      </c>
    </row>
    <row r="32" spans="2:8" ht="15.75" thickBot="1">
      <c r="B32" s="82">
        <f t="shared" si="0"/>
        <v>18</v>
      </c>
      <c r="C32" s="451">
        <v>0</v>
      </c>
      <c r="D32" s="462">
        <v>0</v>
      </c>
      <c r="E32" s="444"/>
      <c r="F32" s="452"/>
      <c r="G32" s="238">
        <f>IF(ISBLANK(E32),'Con Financing'!C32,E32)</f>
        <v>0</v>
      </c>
      <c r="H32" s="106">
        <f>IF(ISBLANK(E32),'Con Financing'!C32,E32)</f>
        <v>0</v>
      </c>
    </row>
    <row r="33" spans="2:8" ht="15.75" thickBot="1">
      <c r="B33" s="82">
        <f t="shared" si="0"/>
        <v>19</v>
      </c>
      <c r="C33" s="451">
        <v>0</v>
      </c>
      <c r="D33" s="462">
        <v>0</v>
      </c>
      <c r="E33" s="444"/>
      <c r="F33" s="452"/>
      <c r="G33" s="238">
        <f>IF(ISBLANK(E33),'Con Financing'!C33,E33)</f>
        <v>0</v>
      </c>
      <c r="H33" s="106">
        <f>IF(ISBLANK(E33),'Con Financing'!C33,E33)</f>
        <v>0</v>
      </c>
    </row>
    <row r="34" spans="2:8" ht="15.75" thickBot="1">
      <c r="B34" s="82">
        <f t="shared" si="0"/>
        <v>20</v>
      </c>
      <c r="C34" s="451">
        <v>0</v>
      </c>
      <c r="D34" s="462">
        <v>0</v>
      </c>
      <c r="E34" s="444"/>
      <c r="F34" s="452"/>
      <c r="G34" s="238">
        <f>IF(ISBLANK(E34),'Con Financing'!C34,E34)</f>
        <v>0</v>
      </c>
      <c r="H34" s="106">
        <f>IF(ISBLANK(E34),'Con Financing'!C34,E34)</f>
        <v>0</v>
      </c>
    </row>
    <row r="35" spans="2:8" ht="15.75" thickBot="1">
      <c r="B35" s="82">
        <f t="shared" si="0"/>
        <v>21</v>
      </c>
      <c r="C35" s="451">
        <v>0</v>
      </c>
      <c r="D35" s="462">
        <v>0</v>
      </c>
      <c r="E35" s="444"/>
      <c r="F35" s="452"/>
      <c r="G35" s="238">
        <f>IF(ISBLANK(E35),'Con Financing'!C35,E35)</f>
        <v>0</v>
      </c>
      <c r="H35" s="106">
        <f>IF(ISBLANK(E35),'Con Financing'!C35,E35)</f>
        <v>0</v>
      </c>
    </row>
    <row r="36" spans="2:8" ht="15.75" thickBot="1">
      <c r="B36" s="82">
        <f t="shared" si="0"/>
        <v>22</v>
      </c>
      <c r="C36" s="451">
        <v>0</v>
      </c>
      <c r="D36" s="462">
        <v>0</v>
      </c>
      <c r="E36" s="444"/>
      <c r="F36" s="452"/>
      <c r="G36" s="238">
        <f>IF(ISBLANK(E36),'Con Financing'!C36,E36)</f>
        <v>0</v>
      </c>
      <c r="H36" s="106">
        <f>IF(ISBLANK(E36),'Con Financing'!C36,E36)</f>
        <v>0</v>
      </c>
    </row>
    <row r="37" spans="2:8" ht="15.75" thickBot="1">
      <c r="B37" s="82">
        <f t="shared" si="0"/>
        <v>23</v>
      </c>
      <c r="C37" s="451">
        <v>0</v>
      </c>
      <c r="D37" s="462">
        <v>0</v>
      </c>
      <c r="E37" s="444"/>
      <c r="F37" s="452"/>
      <c r="G37" s="238">
        <f>IF(ISBLANK(E37),'Con Financing'!C37,E37)</f>
        <v>0</v>
      </c>
      <c r="H37" s="106">
        <f>IF(ISBLANK(E37),'Con Financing'!C37,E37)</f>
        <v>0</v>
      </c>
    </row>
    <row r="38" spans="2:8" ht="15.75" thickBot="1">
      <c r="B38" s="82">
        <f t="shared" si="0"/>
        <v>24</v>
      </c>
      <c r="C38" s="451">
        <v>0</v>
      </c>
      <c r="D38" s="462">
        <v>0</v>
      </c>
      <c r="E38" s="444"/>
      <c r="F38" s="452"/>
      <c r="G38" s="238">
        <f>IF(ISBLANK(E38),'Con Financing'!C38,E38)</f>
        <v>0</v>
      </c>
      <c r="H38" s="106">
        <f>IF(ISBLANK(E38),'Con Financing'!C38,E38)</f>
        <v>0</v>
      </c>
    </row>
    <row r="39" spans="2:8" ht="15.75" thickBot="1">
      <c r="B39" s="82">
        <f t="shared" si="0"/>
        <v>25</v>
      </c>
      <c r="C39" s="451">
        <v>0</v>
      </c>
      <c r="D39" s="462">
        <v>0</v>
      </c>
      <c r="E39" s="444"/>
      <c r="F39" s="452"/>
      <c r="G39" s="238">
        <f>IF(ISBLANK(E39),'Con Financing'!C39,E39)</f>
        <v>0</v>
      </c>
      <c r="H39" s="106">
        <f>IF(ISBLANK(E39),'Con Financing'!C39,E39)</f>
        <v>0</v>
      </c>
    </row>
    <row r="40" spans="2:8" ht="15.75" thickBot="1">
      <c r="B40" s="82">
        <f t="shared" si="0"/>
        <v>26</v>
      </c>
      <c r="C40" s="451">
        <v>0</v>
      </c>
      <c r="D40" s="462">
        <v>0</v>
      </c>
      <c r="E40" s="444"/>
      <c r="F40" s="452"/>
      <c r="G40" s="238">
        <f>IF(ISBLANK(E40),'Con Financing'!C40,E40)</f>
        <v>0</v>
      </c>
      <c r="H40" s="106">
        <f>IF(ISBLANK(E40),'Con Financing'!C40,E40)</f>
        <v>0</v>
      </c>
    </row>
    <row r="41" spans="2:8" ht="15.75" thickBot="1">
      <c r="B41" s="82">
        <f t="shared" si="0"/>
        <v>27</v>
      </c>
      <c r="C41" s="451">
        <v>0</v>
      </c>
      <c r="D41" s="462">
        <v>0</v>
      </c>
      <c r="E41" s="444"/>
      <c r="F41" s="452"/>
      <c r="G41" s="238">
        <f>IF(ISBLANK(E41),'Con Financing'!C41,E41)</f>
        <v>0</v>
      </c>
      <c r="H41" s="106">
        <f>IF(ISBLANK(E41),'Con Financing'!C41,E41)</f>
        <v>0</v>
      </c>
    </row>
    <row r="42" spans="2:8" ht="15.75" thickBot="1">
      <c r="B42" s="82">
        <f t="shared" si="0"/>
        <v>28</v>
      </c>
      <c r="C42" s="451">
        <v>0</v>
      </c>
      <c r="D42" s="462">
        <v>0</v>
      </c>
      <c r="E42" s="444"/>
      <c r="F42" s="452"/>
      <c r="G42" s="238">
        <f>IF(ISBLANK(E42),'Con Financing'!C42,E42)</f>
        <v>0</v>
      </c>
      <c r="H42" s="106">
        <f>IF(ISBLANK(E42),'Con Financing'!C42,E42)</f>
        <v>0</v>
      </c>
    </row>
    <row r="43" spans="2:8" ht="15.75" thickBot="1">
      <c r="B43" s="82">
        <f t="shared" si="0"/>
        <v>29</v>
      </c>
      <c r="C43" s="451">
        <v>0</v>
      </c>
      <c r="D43" s="462">
        <v>0</v>
      </c>
      <c r="E43" s="444"/>
      <c r="F43" s="452"/>
      <c r="G43" s="238">
        <f>IF(ISBLANK(E43),'Con Financing'!C43,E43)</f>
        <v>0</v>
      </c>
      <c r="H43" s="106">
        <f>IF(ISBLANK(E43),'Con Financing'!C43,E43)</f>
        <v>0</v>
      </c>
    </row>
    <row r="44" spans="2:8" ht="15.75" thickBot="1">
      <c r="B44" s="82">
        <f t="shared" si="0"/>
        <v>30</v>
      </c>
      <c r="C44" s="451">
        <v>0</v>
      </c>
      <c r="D44" s="462">
        <v>0</v>
      </c>
      <c r="E44" s="444"/>
      <c r="F44" s="452"/>
      <c r="G44" s="238">
        <f>IF(ISBLANK(E44),'Con Financing'!C44,E44)</f>
        <v>0</v>
      </c>
      <c r="H44" s="106">
        <f>IF(ISBLANK(E44),'Con Financing'!C44,E44)</f>
        <v>0</v>
      </c>
    </row>
    <row r="45" spans="2:8" ht="15.75" thickBot="1">
      <c r="B45" s="82">
        <f t="shared" si="0"/>
        <v>31</v>
      </c>
      <c r="C45" s="451">
        <v>0</v>
      </c>
      <c r="D45" s="462">
        <v>0</v>
      </c>
      <c r="E45" s="444"/>
      <c r="F45" s="452"/>
      <c r="G45" s="238">
        <f>IF(ISBLANK(E45),'Con Financing'!C45,E45)</f>
        <v>0</v>
      </c>
      <c r="H45" s="106">
        <f>IF(ISBLANK(E45),'Con Financing'!C45,E45)</f>
        <v>0</v>
      </c>
    </row>
    <row r="46" spans="2:8" ht="15.75" thickBot="1">
      <c r="B46" s="82">
        <f t="shared" si="0"/>
        <v>32</v>
      </c>
      <c r="C46" s="451">
        <v>0</v>
      </c>
      <c r="D46" s="462">
        <v>0</v>
      </c>
      <c r="E46" s="444"/>
      <c r="F46" s="452"/>
      <c r="G46" s="238">
        <f>IF(ISBLANK(E46),'Con Financing'!C46,E46)</f>
        <v>0</v>
      </c>
      <c r="H46" s="106">
        <f>IF(ISBLANK(E46),'Con Financing'!C46,E46)</f>
        <v>0</v>
      </c>
    </row>
    <row r="47" spans="2:8" ht="15.75" thickBot="1">
      <c r="B47" s="82">
        <f t="shared" si="0"/>
        <v>33</v>
      </c>
      <c r="C47" s="451">
        <v>0</v>
      </c>
      <c r="D47" s="462">
        <v>0</v>
      </c>
      <c r="E47" s="444"/>
      <c r="F47" s="452"/>
      <c r="G47" s="238">
        <f>IF(ISBLANK(E47),'Con Financing'!C47,E47)</f>
        <v>0</v>
      </c>
      <c r="H47" s="106">
        <f>IF(ISBLANK(E47),'Con Financing'!C47,E47)</f>
        <v>0</v>
      </c>
    </row>
    <row r="48" spans="2:8" ht="15.75" thickBot="1">
      <c r="B48" s="82">
        <f t="shared" si="0"/>
        <v>34</v>
      </c>
      <c r="C48" s="451">
        <v>0</v>
      </c>
      <c r="D48" s="462">
        <v>0</v>
      </c>
      <c r="E48" s="444"/>
      <c r="F48" s="452"/>
      <c r="G48" s="238">
        <f>IF(ISBLANK(E48),'Con Financing'!C48,E48)</f>
        <v>0</v>
      </c>
      <c r="H48" s="106">
        <f>IF(ISBLANK(E48),'Con Financing'!C48,E48)</f>
        <v>0</v>
      </c>
    </row>
    <row r="49" spans="2:8" ht="15.75" thickBot="1">
      <c r="B49" s="82">
        <f t="shared" si="0"/>
        <v>35</v>
      </c>
      <c r="C49" s="451">
        <v>0</v>
      </c>
      <c r="D49" s="462">
        <v>0</v>
      </c>
      <c r="E49" s="444"/>
      <c r="F49" s="452"/>
      <c r="G49" s="238">
        <f>IF(ISBLANK(E49),'Con Financing'!C49,E49)</f>
        <v>0</v>
      </c>
      <c r="H49" s="106">
        <f>IF(ISBLANK(E49),'Con Financing'!C49,E49)</f>
        <v>0</v>
      </c>
    </row>
    <row r="50" spans="2:8" ht="15.75" thickBot="1">
      <c r="B50" s="82">
        <f t="shared" si="0"/>
        <v>36</v>
      </c>
      <c r="C50" s="451">
        <v>0</v>
      </c>
      <c r="D50" s="462">
        <v>0</v>
      </c>
      <c r="E50" s="444"/>
      <c r="F50" s="452"/>
      <c r="G50" s="238">
        <f>IF(ISBLANK(E50),'Con Financing'!C50,E50)</f>
        <v>0</v>
      </c>
      <c r="H50" s="106">
        <f>IF(ISBLANK(E50),'Con Financing'!C50,E50)</f>
        <v>0</v>
      </c>
    </row>
    <row r="51" spans="2:8" ht="15.75" thickBot="1">
      <c r="B51" s="107"/>
      <c r="C51" s="126"/>
      <c r="D51" s="126"/>
      <c r="E51" s="109"/>
      <c r="F51" s="120"/>
      <c r="G51" s="120"/>
      <c r="H51" s="110"/>
    </row>
    <row r="53" spans="2:8" ht="15">
      <c r="B53" s="176" t="s">
        <v>93</v>
      </c>
      <c r="C53" s="177" t="str">
        <f>IF(SUM(C15:C50)=1,"YES","NO")</f>
        <v>YES</v>
      </c>
      <c r="D53" s="177" t="str">
        <f>IF(SUM(D15:D50)=1,"YES","NO")</f>
        <v>YES</v>
      </c>
      <c r="E53" s="177" t="str">
        <f>IF(SUM(G15:G50)=1,"YES","NO")</f>
        <v>YES</v>
      </c>
      <c r="F53" s="178" t="str">
        <f>IF(SUM(H15:H50)=1,"YES","NO")</f>
        <v>YES</v>
      </c>
      <c r="G53" s="153"/>
      <c r="H53" s="153"/>
    </row>
    <row r="54" spans="2:8" ht="15">
      <c r="B54" s="175" t="s">
        <v>94</v>
      </c>
      <c r="C54" s="174"/>
      <c r="D54" s="174"/>
      <c r="E54" s="174"/>
      <c r="F54" s="179"/>
      <c r="G54" s="153"/>
      <c r="H54" s="153"/>
    </row>
    <row r="55" ht="15">
      <c r="J55" s="153"/>
    </row>
    <row r="56" ht="15">
      <c r="J56" s="153"/>
    </row>
  </sheetData>
  <sheetProtection password="CFB3" sheet="1" objects="1" scenarios="1"/>
  <conditionalFormatting sqref="C53:F53">
    <cfRule type="cellIs" priority="5" dxfId="4" operator="equal">
      <formula>"NO"</formula>
    </cfRule>
  </conditionalFormatting>
  <printOptions/>
  <pageMargins left="0.75" right="0.75" top="1" bottom="1" header="0.3" footer="0.3"/>
  <pageSetup horizontalDpi="600" verticalDpi="600" orientation="portrait"/>
  <drawing r:id="rId1"/>
</worksheet>
</file>

<file path=xl/worksheets/sheet14.xml><?xml version="1.0" encoding="utf-8"?>
<worksheet xmlns="http://schemas.openxmlformats.org/spreadsheetml/2006/main" xmlns:r="http://schemas.openxmlformats.org/officeDocument/2006/relationships">
  <sheetPr codeName="Sheet15"/>
  <dimension ref="B2:E12"/>
  <sheetViews>
    <sheetView zoomScale="90" zoomScaleNormal="90" zoomScalePageLayoutView="0" workbookViewId="0" topLeftCell="A1">
      <selection activeCell="H15" sqref="H15"/>
    </sheetView>
  </sheetViews>
  <sheetFormatPr defaultColWidth="8.8515625" defaultRowHeight="15"/>
  <cols>
    <col min="1" max="1" width="8.8515625" style="76" customWidth="1"/>
    <col min="2" max="2" width="32.7109375" style="76" bestFit="1" customWidth="1"/>
    <col min="3" max="3" width="14.7109375" style="76" customWidth="1"/>
    <col min="4" max="4" width="15.00390625" style="76" bestFit="1" customWidth="1"/>
    <col min="5" max="5" width="11.421875" style="76" customWidth="1"/>
    <col min="6" max="6" width="8.8515625" style="76" customWidth="1"/>
    <col min="7" max="7" width="29.8515625" style="76" customWidth="1"/>
    <col min="8" max="8" width="14.421875" style="76" customWidth="1"/>
    <col min="9" max="9" width="16.7109375" style="76" customWidth="1"/>
    <col min="10" max="10" width="10.140625" style="76" bestFit="1" customWidth="1"/>
    <col min="11" max="12" width="15.00390625" style="76" bestFit="1" customWidth="1"/>
    <col min="13" max="16384" width="8.8515625" style="76" customWidth="1"/>
  </cols>
  <sheetData>
    <row r="1" ht="15.75" thickBot="1"/>
    <row r="2" spans="2:5" ht="15">
      <c r="B2" s="14" t="s">
        <v>86</v>
      </c>
      <c r="C2" s="27" t="s">
        <v>4</v>
      </c>
      <c r="D2" s="28" t="s">
        <v>0</v>
      </c>
      <c r="E2" s="77"/>
    </row>
    <row r="3" spans="2:5" ht="15">
      <c r="B3" s="82"/>
      <c r="C3" s="103"/>
      <c r="D3" s="113"/>
      <c r="E3" s="114"/>
    </row>
    <row r="4" spans="2:5" ht="15.75" thickBot="1">
      <c r="B4" s="82"/>
      <c r="C4" s="103"/>
      <c r="D4" s="113"/>
      <c r="E4" s="114"/>
    </row>
    <row r="5" spans="2:5" ht="15.75" thickBot="1">
      <c r="B5" s="115" t="s">
        <v>2</v>
      </c>
      <c r="C5" s="445">
        <v>100</v>
      </c>
      <c r="D5" s="446"/>
      <c r="E5" s="18">
        <f>IF(ISBLANK(D5),C5,D5)</f>
        <v>100</v>
      </c>
    </row>
    <row r="6" spans="2:5" ht="15.75" thickBot="1">
      <c r="B6" s="115" t="s">
        <v>58</v>
      </c>
      <c r="C6" s="447">
        <v>400</v>
      </c>
      <c r="D6" s="448"/>
      <c r="E6" s="116">
        <f>IF(ISBLANK(D6),C6,D6)</f>
        <v>400</v>
      </c>
    </row>
    <row r="7" spans="2:5" ht="15.75" thickBot="1">
      <c r="B7" s="82" t="s">
        <v>15</v>
      </c>
      <c r="C7" s="433">
        <v>100</v>
      </c>
      <c r="D7" s="448"/>
      <c r="E7" s="116">
        <f>IF(ISBLANK(D7),C7,D7)</f>
        <v>100</v>
      </c>
    </row>
    <row r="8" spans="2:5" ht="15.75" thickBot="1">
      <c r="B8" s="107"/>
      <c r="C8" s="192"/>
      <c r="D8" s="193"/>
      <c r="E8" s="121"/>
    </row>
    <row r="9" ht="15.75" thickBot="1"/>
    <row r="10" spans="2:4" ht="15">
      <c r="B10" s="19" t="s">
        <v>90</v>
      </c>
      <c r="C10" s="22" t="s">
        <v>4</v>
      </c>
      <c r="D10" s="22" t="s">
        <v>0</v>
      </c>
    </row>
    <row r="11" spans="2:4" ht="15">
      <c r="B11" s="23"/>
      <c r="C11" s="24"/>
      <c r="D11" s="24"/>
    </row>
    <row r="12" spans="2:4" ht="15.75" thickBot="1">
      <c r="B12" s="29" t="s">
        <v>51</v>
      </c>
      <c r="C12" s="54">
        <f>SUM(C5:C7)</f>
        <v>600</v>
      </c>
      <c r="D12" s="54">
        <f>SUM(E5:E7)</f>
        <v>600</v>
      </c>
    </row>
  </sheetData>
  <sheetProtection password="CFB3" sheet="1" objects="1" scenarios="1"/>
  <printOptions/>
  <pageMargins left="0.75" right="0.75" top="1" bottom="1"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3:H38"/>
  <sheetViews>
    <sheetView zoomScale="90" zoomScaleNormal="90" zoomScalePageLayoutView="85" workbookViewId="0" topLeftCell="A1">
      <selection activeCell="C5" sqref="C5"/>
    </sheetView>
  </sheetViews>
  <sheetFormatPr defaultColWidth="8.8515625" defaultRowHeight="15"/>
  <cols>
    <col min="1" max="1" width="8.8515625" style="76" customWidth="1"/>
    <col min="2" max="2" width="42.8515625" style="76" bestFit="1" customWidth="1"/>
    <col min="3" max="3" width="17.140625" style="76" bestFit="1" customWidth="1"/>
    <col min="4" max="4" width="15.421875" style="76" bestFit="1" customWidth="1"/>
    <col min="5" max="5" width="13.7109375" style="76" customWidth="1"/>
    <col min="6" max="6" width="11.140625" style="76" customWidth="1"/>
    <col min="7" max="7" width="42.7109375" style="76" customWidth="1"/>
    <col min="8" max="8" width="14.7109375" style="76" bestFit="1" customWidth="1"/>
    <col min="9" max="9" width="13.140625" style="76" bestFit="1" customWidth="1"/>
    <col min="10" max="10" width="29.421875" style="76" customWidth="1"/>
    <col min="11" max="11" width="43.7109375" style="76" bestFit="1" customWidth="1"/>
    <col min="12" max="12" width="14.7109375" style="76" bestFit="1" customWidth="1"/>
    <col min="13" max="13" width="13.140625" style="76" bestFit="1" customWidth="1"/>
    <col min="14" max="16384" width="8.8515625" style="76" customWidth="1"/>
  </cols>
  <sheetData>
    <row r="2" ht="15.75" thickBot="1"/>
    <row r="3" spans="2:5" ht="15">
      <c r="B3" s="196" t="s">
        <v>257</v>
      </c>
      <c r="C3" s="197" t="s">
        <v>4</v>
      </c>
      <c r="D3" s="21" t="s">
        <v>0</v>
      </c>
      <c r="E3" s="35"/>
    </row>
    <row r="4" spans="2:5" ht="15.75" thickBot="1">
      <c r="B4" s="198"/>
      <c r="C4" s="199"/>
      <c r="D4" s="37"/>
      <c r="E4" s="16"/>
    </row>
    <row r="5" spans="2:5" ht="15.75" thickBot="1">
      <c r="B5" s="201" t="s">
        <v>5</v>
      </c>
      <c r="C5" s="437">
        <v>370000</v>
      </c>
      <c r="D5" s="37"/>
      <c r="E5" s="53">
        <f>C5</f>
        <v>370000</v>
      </c>
    </row>
    <row r="6" spans="2:5" ht="15.75" thickBot="1">
      <c r="B6" s="201" t="s">
        <v>6</v>
      </c>
      <c r="C6" s="437">
        <v>270000</v>
      </c>
      <c r="D6" s="463"/>
      <c r="E6" s="53">
        <f>IF(ISBLANK(D6),C6,D6)</f>
        <v>270000</v>
      </c>
    </row>
    <row r="7" spans="2:5" ht="15.75" thickBot="1">
      <c r="B7" s="202"/>
      <c r="C7" s="203"/>
      <c r="D7" s="6"/>
      <c r="E7" s="17"/>
    </row>
    <row r="9" ht="15.75" thickBot="1"/>
    <row r="10" spans="2:8" ht="15">
      <c r="B10" s="196" t="s">
        <v>261</v>
      </c>
      <c r="C10" s="197" t="s">
        <v>4</v>
      </c>
      <c r="D10" s="21" t="s">
        <v>0</v>
      </c>
      <c r="E10" s="35"/>
      <c r="G10" s="184" t="s">
        <v>82</v>
      </c>
      <c r="H10" s="414" t="s">
        <v>198</v>
      </c>
    </row>
    <row r="11" spans="2:8" ht="15.75" thickBot="1">
      <c r="B11" s="198"/>
      <c r="C11" s="199"/>
      <c r="D11" s="37"/>
      <c r="E11" s="16"/>
      <c r="G11" s="185"/>
      <c r="H11" s="186"/>
    </row>
    <row r="12" spans="2:8" ht="15.75" thickBot="1">
      <c r="B12" s="201" t="s">
        <v>5</v>
      </c>
      <c r="C12" s="453">
        <v>2</v>
      </c>
      <c r="D12" s="464"/>
      <c r="E12" s="65">
        <f>IF(ISBLANK(D12),C12,D12)</f>
        <v>2</v>
      </c>
      <c r="G12" s="185" t="s">
        <v>262</v>
      </c>
      <c r="H12" s="191">
        <v>2</v>
      </c>
    </row>
    <row r="13" spans="2:8" ht="15.75" thickBot="1">
      <c r="B13" s="201" t="s">
        <v>6</v>
      </c>
      <c r="C13" s="453">
        <v>2</v>
      </c>
      <c r="D13" s="464"/>
      <c r="E13" s="65">
        <f>IF(ISBLANK(D13),C13,D13)</f>
        <v>2</v>
      </c>
      <c r="G13" s="189"/>
      <c r="H13" s="190"/>
    </row>
    <row r="14" spans="2:5" ht="15.75" thickBot="1">
      <c r="B14" s="202"/>
      <c r="C14" s="203"/>
      <c r="D14" s="6"/>
      <c r="E14" s="17"/>
    </row>
    <row r="15" ht="15.75" thickBot="1"/>
    <row r="16" spans="2:8" ht="15">
      <c r="B16" s="196" t="s">
        <v>258</v>
      </c>
      <c r="C16" s="197" t="s">
        <v>4</v>
      </c>
      <c r="D16" s="21" t="s">
        <v>0</v>
      </c>
      <c r="E16" s="35"/>
      <c r="G16" s="184" t="s">
        <v>271</v>
      </c>
      <c r="H16" s="414" t="s">
        <v>253</v>
      </c>
    </row>
    <row r="17" spans="2:8" ht="15.75" thickBot="1">
      <c r="B17" s="198"/>
      <c r="C17" s="199"/>
      <c r="D17" s="37"/>
      <c r="E17" s="16"/>
      <c r="G17" s="415"/>
      <c r="H17" s="423"/>
    </row>
    <row r="18" spans="2:8" ht="15.75" thickBot="1">
      <c r="B18" s="201" t="s">
        <v>255</v>
      </c>
      <c r="C18" s="482"/>
      <c r="D18" s="465">
        <v>475</v>
      </c>
      <c r="E18" s="53">
        <f>IF(ISBLANK(D18),C18,D18)</f>
        <v>475</v>
      </c>
      <c r="G18" s="185" t="s">
        <v>254</v>
      </c>
      <c r="H18" s="187">
        <v>0.115</v>
      </c>
    </row>
    <row r="19" spans="2:8" ht="15.75" thickBot="1">
      <c r="B19" s="202"/>
      <c r="C19" s="203"/>
      <c r="D19" s="6"/>
      <c r="E19" s="17"/>
      <c r="G19" s="189"/>
      <c r="H19" s="190"/>
    </row>
    <row r="21" spans="2:5" ht="15.75" thickBot="1">
      <c r="B21" s="153"/>
      <c r="C21" s="153"/>
      <c r="D21" s="153"/>
      <c r="E21" s="153"/>
    </row>
    <row r="22" spans="2:4" ht="15">
      <c r="B22" s="19" t="s">
        <v>256</v>
      </c>
      <c r="C22" s="416" t="s">
        <v>4</v>
      </c>
      <c r="D22" s="422" t="s">
        <v>0</v>
      </c>
    </row>
    <row r="23" spans="2:4" ht="15">
      <c r="B23" s="23"/>
      <c r="C23" s="417"/>
      <c r="D23" s="418"/>
    </row>
    <row r="24" spans="2:4" ht="15">
      <c r="B24" s="39" t="s">
        <v>5</v>
      </c>
      <c r="C24" s="421">
        <f>C5</f>
        <v>370000</v>
      </c>
      <c r="D24" s="419">
        <f>E5+_xlfn.IFERROR(E18/H18,0)</f>
        <v>374130.4347826087</v>
      </c>
    </row>
    <row r="25" spans="2:6" ht="15">
      <c r="B25" s="39" t="s">
        <v>6</v>
      </c>
      <c r="C25" s="421">
        <f>C6</f>
        <v>270000</v>
      </c>
      <c r="D25" s="419">
        <f>E6</f>
        <v>270000</v>
      </c>
      <c r="F25"/>
    </row>
    <row r="26" spans="2:7" ht="15.75" thickBot="1">
      <c r="B26" s="29"/>
      <c r="C26" s="157"/>
      <c r="D26" s="420"/>
      <c r="F26"/>
      <c r="G26"/>
    </row>
    <row r="27" spans="2:7" ht="15">
      <c r="B27" s="153"/>
      <c r="C27" s="153"/>
      <c r="D27" s="153"/>
      <c r="E27" s="153"/>
      <c r="F27"/>
      <c r="G27" s="252"/>
    </row>
    <row r="31" ht="15">
      <c r="D31" s="153"/>
    </row>
    <row r="33" ht="15">
      <c r="A33" s="258"/>
    </row>
    <row r="34" spans="1:3" ht="15">
      <c r="A34" s="259"/>
      <c r="C34" s="258"/>
    </row>
    <row r="35" spans="1:2" ht="15">
      <c r="A35" s="260"/>
      <c r="B35" s="261"/>
    </row>
    <row r="36" spans="1:2" ht="15">
      <c r="A36" s="241"/>
      <c r="B36" s="261"/>
    </row>
    <row r="37" ht="15">
      <c r="A37" s="262"/>
    </row>
    <row r="38" ht="15">
      <c r="F38" s="93"/>
    </row>
  </sheetData>
  <sheetProtection password="CFB3" sheet="1" objects="1" scenarios="1"/>
  <hyperlinks>
    <hyperlink ref="H10" r:id="rId1" display="Source: Zillow.com"/>
    <hyperlink ref="H16" r:id="rId2" display="Source: NAHB"/>
  </hyperlinks>
  <printOptions/>
  <pageMargins left="0.75" right="0.75" top="1" bottom="1" header="0.3" footer="0.3"/>
  <pageSetup horizontalDpi="600" verticalDpi="600" orientation="portrait"/>
  <drawing r:id="rId3"/>
</worksheet>
</file>

<file path=xl/worksheets/sheet16.xml><?xml version="1.0" encoding="utf-8"?>
<worksheet xmlns="http://schemas.openxmlformats.org/spreadsheetml/2006/main" xmlns:r="http://schemas.openxmlformats.org/officeDocument/2006/relationships">
  <sheetPr codeName="Sheet16">
    <tabColor theme="7" tint="0.7999799847602844"/>
  </sheetPr>
  <dimension ref="A1:V81"/>
  <sheetViews>
    <sheetView zoomScale="90" zoomScaleNormal="90" zoomScalePageLayoutView="85" workbookViewId="0" topLeftCell="D1">
      <selection activeCell="W15" sqref="W15"/>
    </sheetView>
  </sheetViews>
  <sheetFormatPr defaultColWidth="8.8515625" defaultRowHeight="15"/>
  <cols>
    <col min="1" max="1" width="5.00390625" style="76" customWidth="1"/>
    <col min="2" max="2" width="18.421875" style="76" bestFit="1" customWidth="1"/>
    <col min="3" max="3" width="23.8515625" style="76" bestFit="1" customWidth="1"/>
    <col min="4" max="4" width="17.8515625" style="76" bestFit="1" customWidth="1"/>
    <col min="5" max="5" width="15.8515625" style="76" bestFit="1" customWidth="1"/>
    <col min="6" max="6" width="9.8515625" style="76" customWidth="1"/>
    <col min="7" max="7" width="10.28125" style="76" bestFit="1" customWidth="1"/>
    <col min="8" max="8" width="7.00390625" style="76" bestFit="1" customWidth="1"/>
    <col min="9" max="9" width="4.421875" style="76" customWidth="1"/>
    <col min="10" max="11" width="12.28125" style="76" customWidth="1"/>
    <col min="12" max="12" width="14.140625" style="76" customWidth="1"/>
    <col min="13" max="17" width="12.28125" style="76" customWidth="1"/>
    <col min="18" max="18" width="4.140625" style="76" customWidth="1"/>
    <col min="19" max="19" width="8.8515625" style="76" customWidth="1"/>
    <col min="20" max="20" width="22.140625" style="76" customWidth="1"/>
    <col min="21" max="21" width="11.421875" style="76" customWidth="1"/>
    <col min="22" max="22" width="12.7109375" style="76" customWidth="1"/>
    <col min="23" max="16384" width="8.8515625" style="76" customWidth="1"/>
  </cols>
  <sheetData>
    <row r="1" spans="1:11" ht="15.75" thickBot="1">
      <c r="A1" s="76" t="s">
        <v>205</v>
      </c>
      <c r="E1" s="346"/>
      <c r="F1" s="346"/>
      <c r="G1" s="346"/>
      <c r="J1" s="344"/>
      <c r="K1" s="345"/>
    </row>
    <row r="2" spans="2:22" ht="15.75" thickBot="1">
      <c r="B2" s="61" t="s">
        <v>84</v>
      </c>
      <c r="C2" s="60" t="s">
        <v>87</v>
      </c>
      <c r="D2" s="60"/>
      <c r="E2" s="60"/>
      <c r="F2" s="533" t="s">
        <v>209</v>
      </c>
      <c r="G2" s="534"/>
      <c r="H2" s="535"/>
      <c r="I2" s="47"/>
      <c r="K2" s="61" t="s">
        <v>84</v>
      </c>
      <c r="L2" s="60" t="s">
        <v>88</v>
      </c>
      <c r="M2" s="60"/>
      <c r="N2" s="46"/>
      <c r="O2" s="533" t="s">
        <v>209</v>
      </c>
      <c r="P2" s="534"/>
      <c r="Q2" s="535"/>
      <c r="R2" s="47"/>
      <c r="T2" s="19" t="s">
        <v>152</v>
      </c>
      <c r="U2" s="66" t="s">
        <v>4</v>
      </c>
      <c r="V2" s="68" t="s">
        <v>0</v>
      </c>
    </row>
    <row r="3" spans="2:22" ht="30">
      <c r="B3" s="134" t="s">
        <v>26</v>
      </c>
      <c r="C3" s="149" t="s">
        <v>36</v>
      </c>
      <c r="D3" s="149" t="s">
        <v>85</v>
      </c>
      <c r="E3" s="149" t="s">
        <v>50</v>
      </c>
      <c r="F3" s="367" t="s">
        <v>38</v>
      </c>
      <c r="G3" s="194" t="s">
        <v>207</v>
      </c>
      <c r="H3" s="368" t="s">
        <v>208</v>
      </c>
      <c r="I3" s="138"/>
      <c r="K3" s="134" t="s">
        <v>26</v>
      </c>
      <c r="L3" s="484" t="s">
        <v>36</v>
      </c>
      <c r="M3" s="484" t="s">
        <v>85</v>
      </c>
      <c r="N3" s="484" t="s">
        <v>50</v>
      </c>
      <c r="O3" s="485" t="s">
        <v>38</v>
      </c>
      <c r="P3" s="484" t="s">
        <v>207</v>
      </c>
      <c r="Q3" s="486" t="s">
        <v>208</v>
      </c>
      <c r="R3" s="138"/>
      <c r="T3" s="23"/>
      <c r="U3" s="67"/>
      <c r="V3" s="67"/>
    </row>
    <row r="4" spans="2:22" ht="15">
      <c r="B4" s="127">
        <v>1</v>
      </c>
      <c r="C4" s="129">
        <f>IF(B4='Con Calculations'!U$7,'Con Sales'!C$24,0)</f>
        <v>0</v>
      </c>
      <c r="D4" s="366">
        <f>SUM('Con Financing'!$C$15:'Con Financing'!C15)</f>
        <v>0.11982082866741321</v>
      </c>
      <c r="E4" s="129">
        <f>IF(B4&lt;=('Con Calculations'!$U$5+'Con Sales'!$C$12),'Con Op Exp'!$C$12,0)</f>
        <v>600</v>
      </c>
      <c r="F4" s="369">
        <f>1000*'Con Financing'!C15</f>
        <v>119.82082866741321</v>
      </c>
      <c r="G4" s="12">
        <f>IF(C4&gt;0,0,F4)</f>
        <v>119.82082866741321</v>
      </c>
      <c r="H4" s="370">
        <f>G4*EFFECT('Con Financing'!$C$7,12)/12</f>
        <v>0.4587123254332852</v>
      </c>
      <c r="I4" s="130"/>
      <c r="J4" s="93"/>
      <c r="K4" s="127">
        <v>1</v>
      </c>
      <c r="L4" s="129">
        <f>IF(K4='Con Calculations'!U$12,'Con Sales'!C$25,0)</f>
        <v>0</v>
      </c>
      <c r="M4" s="31">
        <f>SUM('Con Financing'!$D$15:'Con Financing'!D15)</f>
        <v>0.11982082866741321</v>
      </c>
      <c r="N4" s="129">
        <f>IF(K4&lt;=('Con Calculations'!$U$5+'Con Sales'!$C$13),'Con Op Exp'!$C$12,0)</f>
        <v>600</v>
      </c>
      <c r="O4" s="369">
        <f>1000*'Con Financing'!D15</f>
        <v>119.82082866741321</v>
      </c>
      <c r="P4" s="12">
        <f>IF(L4&gt;0,0,O4)</f>
        <v>119.82082866741321</v>
      </c>
      <c r="Q4" s="370">
        <f>P4*EFFECT('Con Financing'!$C$7,12)/12</f>
        <v>0.4587123254332852</v>
      </c>
      <c r="R4" s="130"/>
      <c r="T4" s="75" t="s">
        <v>79</v>
      </c>
      <c r="U4" s="111"/>
      <c r="V4" s="112"/>
    </row>
    <row r="5" spans="2:22" ht="15">
      <c r="B5" s="127">
        <f>B4+1</f>
        <v>2</v>
      </c>
      <c r="C5" s="129">
        <f>IF(B5='Con Calculations'!U$7,'Con Sales'!C$24,0)</f>
        <v>0</v>
      </c>
      <c r="D5" s="366">
        <f>SUM('Con Financing'!$C$15:'Con Financing'!C16)</f>
        <v>0.26651735722284436</v>
      </c>
      <c r="E5" s="129">
        <f>IF(B5&lt;=('Con Calculations'!$U$5+'Con Sales'!$C$12),'Con Op Exp'!$C$12,0)</f>
        <v>600</v>
      </c>
      <c r="F5" s="369">
        <f>1000*'Con Financing'!C16</f>
        <v>146.69652855543114</v>
      </c>
      <c r="G5" s="12">
        <f aca="true" t="shared" si="0" ref="G5:G39">IF(C5&gt;0,0,F5+G4)</f>
        <v>266.51735722284434</v>
      </c>
      <c r="H5" s="370">
        <f>G5*EFFECT('Con Financing'!$C$7,12)/12</f>
        <v>1.0203133967581486</v>
      </c>
      <c r="I5" s="130"/>
      <c r="J5" s="93"/>
      <c r="K5" s="127">
        <f>K4+1</f>
        <v>2</v>
      </c>
      <c r="L5" s="129">
        <f>IF(K5='Con Calculations'!U$12,'Con Sales'!C$25,0)</f>
        <v>0</v>
      </c>
      <c r="M5" s="31">
        <f>SUM('Con Financing'!$D$15:'Con Financing'!D16)</f>
        <v>0.26651735722284436</v>
      </c>
      <c r="N5" s="129">
        <f>IF(K5&lt;=('Con Calculations'!$U$5+'Con Sales'!$C$13),'Con Op Exp'!$C$12,0)</f>
        <v>600</v>
      </c>
      <c r="O5" s="369">
        <f>1000*'Con Financing'!D16</f>
        <v>146.69652855543114</v>
      </c>
      <c r="P5" s="12">
        <f aca="true" t="shared" si="1" ref="P5:P39">IF(L5&gt;0,0,O5+P4)</f>
        <v>266.51735722284434</v>
      </c>
      <c r="Q5" s="370">
        <f>P5*EFFECT('Con Financing'!$C$7,12)/12</f>
        <v>1.0203133967581486</v>
      </c>
      <c r="R5" s="130"/>
      <c r="T5" s="39" t="s">
        <v>76</v>
      </c>
      <c r="U5" s="162">
        <f>COUNTIF('Con Financing'!$C$15:$C$50,"&gt;0")</f>
        <v>7</v>
      </c>
      <c r="V5" s="112">
        <f>COUNTIF('Con Financing'!$G$15:$G$50,"&gt;0")</f>
        <v>7</v>
      </c>
    </row>
    <row r="6" spans="2:22" ht="15">
      <c r="B6" s="127">
        <f aca="true" t="shared" si="2" ref="B6:B39">B5+1</f>
        <v>3</v>
      </c>
      <c r="C6" s="129">
        <f>IF(B6='Con Calculations'!U$7,'Con Sales'!C$24,0)</f>
        <v>0</v>
      </c>
      <c r="D6" s="366">
        <f>SUM('Con Financing'!$C$15:'Con Financing'!C17)</f>
        <v>0.4132138857782755</v>
      </c>
      <c r="E6" s="129">
        <f>IF(B6&lt;=('Con Calculations'!$U$5+'Con Sales'!$C$12),'Con Op Exp'!$C$12,0)</f>
        <v>600</v>
      </c>
      <c r="F6" s="369">
        <f>1000*'Con Financing'!C17</f>
        <v>146.69652855543114</v>
      </c>
      <c r="G6" s="12">
        <f t="shared" si="0"/>
        <v>413.2138857782755</v>
      </c>
      <c r="H6" s="370">
        <f>G6*EFFECT('Con Financing'!$C$7,12)/12</f>
        <v>1.5819144680830117</v>
      </c>
      <c r="I6" s="130"/>
      <c r="J6" s="93"/>
      <c r="K6" s="127">
        <f aca="true" t="shared" si="3" ref="K6:K39">K5+1</f>
        <v>3</v>
      </c>
      <c r="L6" s="129">
        <f>IF(K6='Con Calculations'!U$12,'Con Sales'!C$25,0)</f>
        <v>0</v>
      </c>
      <c r="M6" s="31">
        <f>SUM('Con Financing'!$D$15:'Con Financing'!D17)</f>
        <v>0.4132138857782755</v>
      </c>
      <c r="N6" s="129">
        <f>IF(K6&lt;=('Con Calculations'!$U$5+'Con Sales'!$C$13),'Con Op Exp'!$C$12,0)</f>
        <v>600</v>
      </c>
      <c r="O6" s="369">
        <f>1000*'Con Financing'!D17</f>
        <v>146.69652855543114</v>
      </c>
      <c r="P6" s="12">
        <f t="shared" si="1"/>
        <v>413.2138857782755</v>
      </c>
      <c r="Q6" s="370">
        <f>P6*EFFECT('Con Financing'!$C$7,12)/12</f>
        <v>1.5819144680830117</v>
      </c>
      <c r="R6" s="130"/>
      <c r="T6" s="10" t="s">
        <v>146</v>
      </c>
      <c r="U6" s="265">
        <f>'Con Sales'!C12</f>
        <v>2</v>
      </c>
      <c r="V6" s="265">
        <f>'Con Sales'!E12</f>
        <v>2</v>
      </c>
    </row>
    <row r="7" spans="2:22" ht="15">
      <c r="B7" s="127">
        <f t="shared" si="2"/>
        <v>4</v>
      </c>
      <c r="C7" s="129">
        <f>IF(B7='Con Calculations'!U$7,'Con Sales'!C$24,0)</f>
        <v>0</v>
      </c>
      <c r="D7" s="366">
        <f>SUM('Con Financing'!$C$15:'Con Financing'!C18)</f>
        <v>0.5599104143337066</v>
      </c>
      <c r="E7" s="129">
        <f>IF(B7&lt;=('Con Calculations'!$U$5+'Con Sales'!$C$12),'Con Op Exp'!$C$12,0)</f>
        <v>600</v>
      </c>
      <c r="F7" s="369">
        <f>1000*'Con Financing'!C18</f>
        <v>146.69652855543114</v>
      </c>
      <c r="G7" s="12">
        <f t="shared" si="0"/>
        <v>559.9104143337066</v>
      </c>
      <c r="H7" s="370">
        <f>G7*EFFECT('Con Financing'!$C$7,12)/12</f>
        <v>2.143515539407875</v>
      </c>
      <c r="I7" s="130"/>
      <c r="J7" s="93"/>
      <c r="K7" s="127">
        <f t="shared" si="3"/>
        <v>4</v>
      </c>
      <c r="L7" s="129">
        <f>IF(K7='Con Calculations'!U$12,'Con Sales'!C$25,0)</f>
        <v>0</v>
      </c>
      <c r="M7" s="31">
        <f>SUM('Con Financing'!$D$15:'Con Financing'!D18)</f>
        <v>0.5599104143337066</v>
      </c>
      <c r="N7" s="129">
        <f>IF(K7&lt;=('Con Calculations'!$U$5+'Con Sales'!$C$13),'Con Op Exp'!$C$12,0)</f>
        <v>600</v>
      </c>
      <c r="O7" s="369">
        <f>1000*'Con Financing'!D18</f>
        <v>146.69652855543114</v>
      </c>
      <c r="P7" s="12">
        <f t="shared" si="1"/>
        <v>559.9104143337066</v>
      </c>
      <c r="Q7" s="370">
        <f>P7*EFFECT('Con Financing'!$C$7,12)/12</f>
        <v>2.143515539407875</v>
      </c>
      <c r="R7" s="130"/>
      <c r="T7" s="39" t="s">
        <v>153</v>
      </c>
      <c r="U7" s="162">
        <f>SUM(U5:U6)</f>
        <v>9</v>
      </c>
      <c r="V7" s="162">
        <f>SUM(V5:V6)</f>
        <v>9</v>
      </c>
    </row>
    <row r="8" spans="2:22" ht="15">
      <c r="B8" s="127">
        <f t="shared" si="2"/>
        <v>5</v>
      </c>
      <c r="C8" s="129">
        <f>IF(B8='Con Calculations'!U$7,'Con Sales'!C$24,0)</f>
        <v>0</v>
      </c>
      <c r="D8" s="366">
        <f>SUM('Con Financing'!$C$15:'Con Financing'!C19)</f>
        <v>0.7066069428891377</v>
      </c>
      <c r="E8" s="129">
        <f>IF(B8&lt;=('Con Calculations'!$U$5+'Con Sales'!$C$12),'Con Op Exp'!$C$12,0)</f>
        <v>600</v>
      </c>
      <c r="F8" s="369">
        <f>1000*'Con Financing'!C19</f>
        <v>146.69652855543114</v>
      </c>
      <c r="G8" s="12">
        <f t="shared" si="0"/>
        <v>706.6069428891378</v>
      </c>
      <c r="H8" s="370">
        <f>G8*EFFECT('Con Financing'!$C$7,12)/12</f>
        <v>2.705116610732739</v>
      </c>
      <c r="I8" s="130"/>
      <c r="J8" s="93"/>
      <c r="K8" s="127">
        <f t="shared" si="3"/>
        <v>5</v>
      </c>
      <c r="L8" s="129">
        <f>IF(K8='Con Calculations'!U$12,'Con Sales'!C$25,0)</f>
        <v>0</v>
      </c>
      <c r="M8" s="31">
        <f>SUM('Con Financing'!$D$15:'Con Financing'!D19)</f>
        <v>0.7066069428891377</v>
      </c>
      <c r="N8" s="129">
        <f>IF(K8&lt;=('Con Calculations'!$U$5+'Con Sales'!$C$13),'Con Op Exp'!$C$12,0)</f>
        <v>600</v>
      </c>
      <c r="O8" s="369">
        <f>1000*'Con Financing'!D19</f>
        <v>146.69652855543114</v>
      </c>
      <c r="P8" s="12">
        <f t="shared" si="1"/>
        <v>706.6069428891378</v>
      </c>
      <c r="Q8" s="370">
        <f>P8*EFFECT('Con Financing'!$C$7,12)/12</f>
        <v>2.705116610732739</v>
      </c>
      <c r="R8" s="130"/>
      <c r="T8" s="39"/>
      <c r="U8" s="162"/>
      <c r="V8" s="162"/>
    </row>
    <row r="9" spans="2:22" ht="15">
      <c r="B9" s="127">
        <f t="shared" si="2"/>
        <v>6</v>
      </c>
      <c r="C9" s="129">
        <f>IF(B9='Con Calculations'!U$7,'Con Sales'!C$24,0)</f>
        <v>0</v>
      </c>
      <c r="D9" s="366">
        <f>SUM('Con Financing'!$C$15:'Con Financing'!C20)</f>
        <v>0.8533034714445689</v>
      </c>
      <c r="E9" s="129">
        <f>IF(B9&lt;=('Con Calculations'!$U$5+'Con Sales'!$C$12),'Con Op Exp'!$C$12,0)</f>
        <v>600</v>
      </c>
      <c r="F9" s="369">
        <f>1000*'Con Financing'!C20</f>
        <v>146.69652855543114</v>
      </c>
      <c r="G9" s="12">
        <f t="shared" si="0"/>
        <v>853.3034714445689</v>
      </c>
      <c r="H9" s="370">
        <f>G9*EFFECT('Con Financing'!$C$7,12)/12</f>
        <v>3.2667176820576014</v>
      </c>
      <c r="I9" s="130"/>
      <c r="J9" s="93"/>
      <c r="K9" s="127">
        <f t="shared" si="3"/>
        <v>6</v>
      </c>
      <c r="L9" s="129">
        <f>IF(K9='Con Calculations'!U$12,'Con Sales'!C$25,0)</f>
        <v>0</v>
      </c>
      <c r="M9" s="31">
        <f>SUM('Con Financing'!$D$15:'Con Financing'!D20)</f>
        <v>0.8533034714445689</v>
      </c>
      <c r="N9" s="129">
        <f>IF(K9&lt;=('Con Calculations'!$U$5+'Con Sales'!$C$13),'Con Op Exp'!$C$12,0)</f>
        <v>600</v>
      </c>
      <c r="O9" s="369">
        <f>1000*'Con Financing'!D20</f>
        <v>146.69652855543114</v>
      </c>
      <c r="P9" s="12">
        <f t="shared" si="1"/>
        <v>853.3034714445689</v>
      </c>
      <c r="Q9" s="370">
        <f>P9*EFFECT('Con Financing'!$C$7,12)/12</f>
        <v>3.2667176820576014</v>
      </c>
      <c r="R9" s="130"/>
      <c r="T9" s="75" t="s">
        <v>80</v>
      </c>
      <c r="U9" s="111"/>
      <c r="V9" s="112"/>
    </row>
    <row r="10" spans="2:22" ht="15">
      <c r="B10" s="127">
        <f t="shared" si="2"/>
        <v>7</v>
      </c>
      <c r="C10" s="129">
        <f>IF(B10='Con Calculations'!U$7,'Con Sales'!C$24,0)</f>
        <v>0</v>
      </c>
      <c r="D10" s="366">
        <f>SUM('Con Financing'!$C$15:'Con Financing'!C21)</f>
        <v>1</v>
      </c>
      <c r="E10" s="129">
        <f>IF(B10&lt;=('Con Calculations'!$U$5+'Con Sales'!$C$12),'Con Op Exp'!$C$12,0)</f>
        <v>600</v>
      </c>
      <c r="F10" s="369">
        <f>1000*'Con Financing'!C21</f>
        <v>146.69652855543114</v>
      </c>
      <c r="G10" s="12">
        <f t="shared" si="0"/>
        <v>1000</v>
      </c>
      <c r="H10" s="370">
        <f>G10*EFFECT('Con Financing'!$C$7,12)/12</f>
        <v>3.8283187533824647</v>
      </c>
      <c r="I10" s="130"/>
      <c r="J10" s="93"/>
      <c r="K10" s="127">
        <f t="shared" si="3"/>
        <v>7</v>
      </c>
      <c r="L10" s="129">
        <f>IF(K10='Con Calculations'!U$12,'Con Sales'!C$25,0)</f>
        <v>0</v>
      </c>
      <c r="M10" s="31">
        <f>SUM('Con Financing'!$D$15:'Con Financing'!D21)</f>
        <v>1</v>
      </c>
      <c r="N10" s="129">
        <f>IF(K10&lt;=('Con Calculations'!$U$5+'Con Sales'!$C$13),'Con Op Exp'!$C$12,0)</f>
        <v>600</v>
      </c>
      <c r="O10" s="369">
        <f>1000*'Con Financing'!D21</f>
        <v>146.69652855543114</v>
      </c>
      <c r="P10" s="12">
        <f t="shared" si="1"/>
        <v>1000</v>
      </c>
      <c r="Q10" s="370">
        <f>P10*EFFECT('Con Financing'!$C$7,12)/12</f>
        <v>3.8283187533824647</v>
      </c>
      <c r="R10" s="130"/>
      <c r="T10" s="39" t="s">
        <v>76</v>
      </c>
      <c r="U10" s="112">
        <f>COUNTIF('Con Financing'!$D$15:$D$50,"&gt;0")</f>
        <v>7</v>
      </c>
      <c r="V10" s="112">
        <f>COUNTIF('Con Financing'!$H$15:$H$50,"&gt;0")</f>
        <v>7</v>
      </c>
    </row>
    <row r="11" spans="2:22" ht="15">
      <c r="B11" s="127">
        <f t="shared" si="2"/>
        <v>8</v>
      </c>
      <c r="C11" s="129">
        <f>IF(B11='Con Calculations'!U$7,'Con Sales'!C$24,0)</f>
        <v>0</v>
      </c>
      <c r="D11" s="366">
        <f>SUM('Con Financing'!$C$15:'Con Financing'!C22)</f>
        <v>1</v>
      </c>
      <c r="E11" s="129">
        <f>IF(B11&lt;=('Con Calculations'!$U$5+'Con Sales'!$C$12),'Con Op Exp'!$C$12,0)</f>
        <v>600</v>
      </c>
      <c r="F11" s="369">
        <f>1000*'Con Financing'!C22</f>
        <v>0</v>
      </c>
      <c r="G11" s="12">
        <f t="shared" si="0"/>
        <v>1000</v>
      </c>
      <c r="H11" s="370">
        <f>G11*EFFECT('Con Financing'!$C$7,12)/12</f>
        <v>3.8283187533824647</v>
      </c>
      <c r="I11" s="130"/>
      <c r="J11" s="93"/>
      <c r="K11" s="127">
        <f t="shared" si="3"/>
        <v>8</v>
      </c>
      <c r="L11" s="129">
        <f>IF(K11='Con Calculations'!U$12,'Con Sales'!C$25,0)</f>
        <v>0</v>
      </c>
      <c r="M11" s="31">
        <f>SUM('Con Financing'!$D$15:'Con Financing'!D22)</f>
        <v>1</v>
      </c>
      <c r="N11" s="129">
        <f>IF(K11&lt;=('Con Calculations'!$U$5+'Con Sales'!$C$13),'Con Op Exp'!$C$12,0)</f>
        <v>600</v>
      </c>
      <c r="O11" s="369">
        <f>1000*'Con Financing'!D22</f>
        <v>0</v>
      </c>
      <c r="P11" s="12">
        <f t="shared" si="1"/>
        <v>1000</v>
      </c>
      <c r="Q11" s="370">
        <f>P11*EFFECT('Con Financing'!$C$7,12)/12</f>
        <v>3.8283187533824647</v>
      </c>
      <c r="R11" s="130"/>
      <c r="T11" s="10" t="s">
        <v>146</v>
      </c>
      <c r="U11" s="265">
        <f>'Con Sales'!C13</f>
        <v>2</v>
      </c>
      <c r="V11" s="265">
        <f>'Con Sales'!E13</f>
        <v>2</v>
      </c>
    </row>
    <row r="12" spans="2:22" ht="15">
      <c r="B12" s="127">
        <f t="shared" si="2"/>
        <v>9</v>
      </c>
      <c r="C12" s="129">
        <f>IF(B12='Con Calculations'!U$7,'Con Sales'!C$24,0)</f>
        <v>370000</v>
      </c>
      <c r="D12" s="366">
        <f>SUM('Con Financing'!$C$15:'Con Financing'!C23)</f>
        <v>1</v>
      </c>
      <c r="E12" s="129">
        <f>IF(B12&lt;=('Con Calculations'!$U$5+'Con Sales'!$C$12),'Con Op Exp'!$C$12,0)</f>
        <v>600</v>
      </c>
      <c r="F12" s="369">
        <f>1000*'Con Financing'!C23</f>
        <v>0</v>
      </c>
      <c r="G12" s="12">
        <f t="shared" si="0"/>
        <v>0</v>
      </c>
      <c r="H12" s="370">
        <f>G12*EFFECT('Con Financing'!$C$7,12)/12</f>
        <v>0</v>
      </c>
      <c r="I12" s="130"/>
      <c r="J12" s="93"/>
      <c r="K12" s="127">
        <f t="shared" si="3"/>
        <v>9</v>
      </c>
      <c r="L12" s="129">
        <f>IF(K12='Con Calculations'!U$12,'Con Sales'!C$25,0)</f>
        <v>270000</v>
      </c>
      <c r="M12" s="31">
        <f>SUM('Con Financing'!$D$15:'Con Financing'!D23)</f>
        <v>1</v>
      </c>
      <c r="N12" s="129">
        <f>IF(K12&lt;=('Con Calculations'!$U$5+'Con Sales'!$C$13),'Con Op Exp'!$C$12,0)</f>
        <v>600</v>
      </c>
      <c r="O12" s="369">
        <f>1000*'Con Financing'!D23</f>
        <v>0</v>
      </c>
      <c r="P12" s="12">
        <f t="shared" si="1"/>
        <v>0</v>
      </c>
      <c r="Q12" s="370">
        <f>P12*EFFECT('Con Financing'!$C$7,12)/12</f>
        <v>0</v>
      </c>
      <c r="R12" s="130"/>
      <c r="T12" s="39" t="s">
        <v>153</v>
      </c>
      <c r="U12" s="162">
        <f>SUM(U10:U11)</f>
        <v>9</v>
      </c>
      <c r="V12" s="162">
        <f>SUM(V10:V11)</f>
        <v>9</v>
      </c>
    </row>
    <row r="13" spans="2:22" ht="15.75" thickBot="1">
      <c r="B13" s="127">
        <f t="shared" si="2"/>
        <v>10</v>
      </c>
      <c r="C13" s="129">
        <f>IF(B13='Con Calculations'!U$7,'Con Sales'!C$24,0)</f>
        <v>0</v>
      </c>
      <c r="D13" s="366">
        <f>SUM('Con Financing'!$C$15:'Con Financing'!C24)</f>
        <v>1</v>
      </c>
      <c r="E13" s="129">
        <f>IF(B13&lt;=('Con Calculations'!$U$5+'Con Sales'!$C$12),'Con Op Exp'!$C$12,0)</f>
        <v>0</v>
      </c>
      <c r="F13" s="369">
        <f>1000*'Con Financing'!C24</f>
        <v>0</v>
      </c>
      <c r="G13" s="12">
        <f t="shared" si="0"/>
        <v>0</v>
      </c>
      <c r="H13" s="370">
        <f>G13*EFFECT('Con Financing'!$C$7,12)/12</f>
        <v>0</v>
      </c>
      <c r="I13" s="130"/>
      <c r="K13" s="127">
        <f t="shared" si="3"/>
        <v>10</v>
      </c>
      <c r="L13" s="129">
        <f>IF(K13='Con Calculations'!U$12,'Con Sales'!C$25,0)</f>
        <v>0</v>
      </c>
      <c r="M13" s="31">
        <f>SUM('Con Financing'!$D$15:'Con Financing'!D24)</f>
        <v>1</v>
      </c>
      <c r="N13" s="129">
        <f>IF(K13&lt;=('Con Calculations'!$U$5+'Con Sales'!$C$13),'Con Op Exp'!$C$12,0)</f>
        <v>0</v>
      </c>
      <c r="O13" s="369">
        <f>1000*'Con Financing'!D24</f>
        <v>0</v>
      </c>
      <c r="P13" s="12">
        <f t="shared" si="1"/>
        <v>0</v>
      </c>
      <c r="Q13" s="370">
        <f>P13*EFFECT('Con Financing'!$C$7,12)/12</f>
        <v>0</v>
      </c>
      <c r="R13" s="130"/>
      <c r="T13" s="29"/>
      <c r="U13" s="161"/>
      <c r="V13" s="96"/>
    </row>
    <row r="14" spans="2:18" ht="15">
      <c r="B14" s="127">
        <f t="shared" si="2"/>
        <v>11</v>
      </c>
      <c r="C14" s="129">
        <f>IF(B14='Con Calculations'!U$7,'Con Sales'!C$24,0)</f>
        <v>0</v>
      </c>
      <c r="D14" s="366">
        <f>SUM('Con Financing'!$C$15:'Con Financing'!C25)</f>
        <v>1</v>
      </c>
      <c r="E14" s="129">
        <f>IF(B14&lt;=('Con Calculations'!$U$5+'Con Sales'!$C$12),'Con Op Exp'!$C$12,0)</f>
        <v>0</v>
      </c>
      <c r="F14" s="369">
        <f>1000*'Con Financing'!C25</f>
        <v>0</v>
      </c>
      <c r="G14" s="12">
        <f t="shared" si="0"/>
        <v>0</v>
      </c>
      <c r="H14" s="370">
        <f>G14*EFFECT('Con Financing'!$C$7,12)/12</f>
        <v>0</v>
      </c>
      <c r="I14" s="130"/>
      <c r="K14" s="127">
        <f t="shared" si="3"/>
        <v>11</v>
      </c>
      <c r="L14" s="129">
        <f>IF(K14='Con Calculations'!U$12,'Con Sales'!C$25,0)</f>
        <v>0</v>
      </c>
      <c r="M14" s="31">
        <f>SUM('Con Financing'!$D$15:'Con Financing'!D25)</f>
        <v>1</v>
      </c>
      <c r="N14" s="129">
        <f>IF(K14&lt;=('Con Calculations'!$U$5+'Con Sales'!$C$13),'Con Op Exp'!$C$12,0)</f>
        <v>0</v>
      </c>
      <c r="O14" s="369">
        <f>1000*'Con Financing'!D25</f>
        <v>0</v>
      </c>
      <c r="P14" s="12">
        <f t="shared" si="1"/>
        <v>0</v>
      </c>
      <c r="Q14" s="370">
        <f>P14*EFFECT('Con Financing'!$C$7,12)/12</f>
        <v>0</v>
      </c>
      <c r="R14" s="130"/>
    </row>
    <row r="15" spans="2:18" ht="15">
      <c r="B15" s="127">
        <f t="shared" si="2"/>
        <v>12</v>
      </c>
      <c r="C15" s="129">
        <f>IF(B15='Con Calculations'!U$7,'Con Sales'!C$24,0)</f>
        <v>0</v>
      </c>
      <c r="D15" s="366">
        <f>SUM('Con Financing'!$C$15:'Con Financing'!C26)</f>
        <v>1</v>
      </c>
      <c r="E15" s="129">
        <f>IF(B15&lt;=('Con Calculations'!$U$5+'Con Sales'!$C$12),'Con Op Exp'!$C$12,0)</f>
        <v>0</v>
      </c>
      <c r="F15" s="369">
        <f>1000*'Con Financing'!C26</f>
        <v>0</v>
      </c>
      <c r="G15" s="12">
        <f t="shared" si="0"/>
        <v>0</v>
      </c>
      <c r="H15" s="370">
        <f>G15*EFFECT('Con Financing'!$C$7,12)/12</f>
        <v>0</v>
      </c>
      <c r="I15" s="130"/>
      <c r="K15" s="127">
        <f t="shared" si="3"/>
        <v>12</v>
      </c>
      <c r="L15" s="129">
        <f>IF(K15='Con Calculations'!U$12,'Con Sales'!C$25,0)</f>
        <v>0</v>
      </c>
      <c r="M15" s="31">
        <f>SUM('Con Financing'!$D$15:'Con Financing'!D26)</f>
        <v>1</v>
      </c>
      <c r="N15" s="129">
        <f>IF(K15&lt;=('Con Calculations'!$U$5+'Con Sales'!$C$13),'Con Op Exp'!$C$12,0)</f>
        <v>0</v>
      </c>
      <c r="O15" s="369">
        <f>1000*'Con Financing'!D26</f>
        <v>0</v>
      </c>
      <c r="P15" s="12">
        <f t="shared" si="1"/>
        <v>0</v>
      </c>
      <c r="Q15" s="370">
        <f>P15*EFFECT('Con Financing'!$C$7,12)/12</f>
        <v>0</v>
      </c>
      <c r="R15" s="130"/>
    </row>
    <row r="16" spans="2:18" ht="15.75" thickBot="1">
      <c r="B16" s="127">
        <f t="shared" si="2"/>
        <v>13</v>
      </c>
      <c r="C16" s="129">
        <f>IF(B16='Con Calculations'!U$7,'Con Sales'!C$24,0)</f>
        <v>0</v>
      </c>
      <c r="D16" s="366">
        <f>SUM('Con Financing'!$C$15:'Con Financing'!C27)</f>
        <v>1</v>
      </c>
      <c r="E16" s="129">
        <f>IF(B16&lt;=('Con Calculations'!$U$5+'Con Sales'!$C$12),'Con Op Exp'!$C$12,0)</f>
        <v>0</v>
      </c>
      <c r="F16" s="369">
        <f>1000*'Con Financing'!C27</f>
        <v>0</v>
      </c>
      <c r="G16" s="12">
        <f t="shared" si="0"/>
        <v>0</v>
      </c>
      <c r="H16" s="370">
        <f>G16*EFFECT('Con Financing'!$C$7,12)/12</f>
        <v>0</v>
      </c>
      <c r="I16" s="130"/>
      <c r="K16" s="127">
        <f t="shared" si="3"/>
        <v>13</v>
      </c>
      <c r="L16" s="129">
        <f>IF(K16='Con Calculations'!U$12,'Con Sales'!C$25,0)</f>
        <v>0</v>
      </c>
      <c r="M16" s="31">
        <f>SUM('Con Financing'!$D$15:'Con Financing'!D27)</f>
        <v>1</v>
      </c>
      <c r="N16" s="129">
        <f>IF(K16&lt;=('Con Calculations'!$U$5+'Con Sales'!$C$13),'Con Op Exp'!$C$12,0)</f>
        <v>0</v>
      </c>
      <c r="O16" s="369">
        <f>1000*'Con Financing'!D27</f>
        <v>0</v>
      </c>
      <c r="P16" s="12">
        <f t="shared" si="1"/>
        <v>0</v>
      </c>
      <c r="Q16" s="370">
        <f>P16*EFFECT('Con Financing'!$C$7,12)/12</f>
        <v>0</v>
      </c>
      <c r="R16" s="130"/>
    </row>
    <row r="17" spans="2:22" ht="15">
      <c r="B17" s="127">
        <f t="shared" si="2"/>
        <v>14</v>
      </c>
      <c r="C17" s="129">
        <f>IF(B17='Con Calculations'!U$7,'Con Sales'!C$24,0)</f>
        <v>0</v>
      </c>
      <c r="D17" s="366">
        <f>SUM('Con Financing'!$C$15:'Con Financing'!C28)</f>
        <v>1</v>
      </c>
      <c r="E17" s="129">
        <f>IF(B17&lt;=('Con Calculations'!$U$5+'Con Sales'!$C$12),'Con Op Exp'!$C$12,0)</f>
        <v>0</v>
      </c>
      <c r="F17" s="369">
        <f>1000*'Con Financing'!C28</f>
        <v>0</v>
      </c>
      <c r="G17" s="12">
        <f t="shared" si="0"/>
        <v>0</v>
      </c>
      <c r="H17" s="370">
        <f>G17*EFFECT('Con Financing'!$C$7,12)/12</f>
        <v>0</v>
      </c>
      <c r="I17" s="130"/>
      <c r="K17" s="127">
        <f t="shared" si="3"/>
        <v>14</v>
      </c>
      <c r="L17" s="129">
        <f>IF(K17='Con Calculations'!U$12,'Con Sales'!C$25,0)</f>
        <v>0</v>
      </c>
      <c r="M17" s="31">
        <f>SUM('Con Financing'!$D$15:'Con Financing'!D28)</f>
        <v>1</v>
      </c>
      <c r="N17" s="129">
        <f>IF(K17&lt;=('Con Calculations'!$U$5+'Con Sales'!$C$13),'Con Op Exp'!$C$12,0)</f>
        <v>0</v>
      </c>
      <c r="O17" s="369">
        <f>1000*'Con Financing'!D28</f>
        <v>0</v>
      </c>
      <c r="P17" s="12">
        <f t="shared" si="1"/>
        <v>0</v>
      </c>
      <c r="Q17" s="370">
        <f>P17*EFFECT('Con Financing'!$C$7,12)/12</f>
        <v>0</v>
      </c>
      <c r="R17" s="130"/>
      <c r="T17" s="19" t="s">
        <v>74</v>
      </c>
      <c r="U17" s="22" t="s">
        <v>4</v>
      </c>
      <c r="V17" s="22" t="s">
        <v>0</v>
      </c>
    </row>
    <row r="18" spans="2:22" ht="15">
      <c r="B18" s="127">
        <f t="shared" si="2"/>
        <v>15</v>
      </c>
      <c r="C18" s="129">
        <f>IF(B18='Con Calculations'!U$7,'Con Sales'!C$24,0)</f>
        <v>0</v>
      </c>
      <c r="D18" s="366">
        <f>SUM('Con Financing'!$C$15:'Con Financing'!C29)</f>
        <v>1</v>
      </c>
      <c r="E18" s="129">
        <f>IF(B18&lt;=('Con Calculations'!$U$5+'Con Sales'!$C$12),'Con Op Exp'!$C$12,0)</f>
        <v>0</v>
      </c>
      <c r="F18" s="369">
        <f>1000*'Con Financing'!C29</f>
        <v>0</v>
      </c>
      <c r="G18" s="12">
        <f t="shared" si="0"/>
        <v>0</v>
      </c>
      <c r="H18" s="370">
        <f>G18*EFFECT('Con Financing'!$C$7,12)/12</f>
        <v>0</v>
      </c>
      <c r="I18" s="130"/>
      <c r="K18" s="127">
        <f t="shared" si="3"/>
        <v>15</v>
      </c>
      <c r="L18" s="129">
        <f>IF(K18='Con Calculations'!U$12,'Con Sales'!C$25,0)</f>
        <v>0</v>
      </c>
      <c r="M18" s="31">
        <f>SUM('Con Financing'!$D$15:'Con Financing'!D29)</f>
        <v>1</v>
      </c>
      <c r="N18" s="129">
        <f>IF(K18&lt;=('Con Calculations'!$U$5+'Con Sales'!$C$13),'Con Op Exp'!$C$12,0)</f>
        <v>0</v>
      </c>
      <c r="O18" s="369">
        <f>1000*'Con Financing'!D29</f>
        <v>0</v>
      </c>
      <c r="P18" s="12">
        <f t="shared" si="1"/>
        <v>0</v>
      </c>
      <c r="Q18" s="370">
        <f>P18*EFFECT('Con Financing'!$C$7,12)/12</f>
        <v>0</v>
      </c>
      <c r="R18" s="130"/>
      <c r="T18" s="23"/>
      <c r="U18" s="24"/>
      <c r="V18" s="24"/>
    </row>
    <row r="19" spans="2:22" ht="15">
      <c r="B19" s="127">
        <f t="shared" si="2"/>
        <v>16</v>
      </c>
      <c r="C19" s="129">
        <f>IF(B19='Con Calculations'!U$7,'Con Sales'!C$24,0)</f>
        <v>0</v>
      </c>
      <c r="D19" s="366">
        <f>SUM('Con Financing'!$C$15:'Con Financing'!C30)</f>
        <v>1</v>
      </c>
      <c r="E19" s="129">
        <f>IF(B19&lt;=('Con Calculations'!$U$5+'Con Sales'!$C$12),'Con Op Exp'!$C$12,0)</f>
        <v>0</v>
      </c>
      <c r="F19" s="369">
        <f>1000*'Con Financing'!C30</f>
        <v>0</v>
      </c>
      <c r="G19" s="12">
        <f t="shared" si="0"/>
        <v>0</v>
      </c>
      <c r="H19" s="370">
        <f>G19*EFFECT('Con Financing'!$C$7,12)/12</f>
        <v>0</v>
      </c>
      <c r="I19" s="130"/>
      <c r="K19" s="127">
        <f t="shared" si="3"/>
        <v>16</v>
      </c>
      <c r="L19" s="129">
        <f>IF(K19='Con Calculations'!U$12,'Con Sales'!C$25,0)</f>
        <v>0</v>
      </c>
      <c r="M19" s="31">
        <f>SUM('Con Financing'!$D$15:'Con Financing'!D30)</f>
        <v>1</v>
      </c>
      <c r="N19" s="129">
        <f>IF(K19&lt;=('Con Calculations'!$U$5+'Con Sales'!$C$13),'Con Op Exp'!$C$12,0)</f>
        <v>0</v>
      </c>
      <c r="O19" s="369">
        <f>1000*'Con Financing'!D30</f>
        <v>0</v>
      </c>
      <c r="P19" s="12">
        <f t="shared" si="1"/>
        <v>0</v>
      </c>
      <c r="Q19" s="370">
        <f>P19*EFFECT('Con Financing'!$C$7,12)/12</f>
        <v>0</v>
      </c>
      <c r="R19" s="130"/>
      <c r="T19" s="75" t="s">
        <v>79</v>
      </c>
      <c r="U19" s="24"/>
      <c r="V19" s="24"/>
    </row>
    <row r="20" spans="2:22" ht="15">
      <c r="B20" s="127">
        <f t="shared" si="2"/>
        <v>17</v>
      </c>
      <c r="C20" s="129">
        <f>IF(B20='Con Calculations'!U$7,'Con Sales'!C$24,0)</f>
        <v>0</v>
      </c>
      <c r="D20" s="366">
        <f>SUM('Con Financing'!$C$15:'Con Financing'!C31)</f>
        <v>1</v>
      </c>
      <c r="E20" s="129">
        <f>IF(B20&lt;=('Con Calculations'!$U$5+'Con Sales'!$C$12),'Con Op Exp'!$C$12,0)</f>
        <v>0</v>
      </c>
      <c r="F20" s="369">
        <f>1000*'Con Financing'!C31</f>
        <v>0</v>
      </c>
      <c r="G20" s="12">
        <f t="shared" si="0"/>
        <v>0</v>
      </c>
      <c r="H20" s="370">
        <f>G20*EFFECT('Con Financing'!$C$7,12)/12</f>
        <v>0</v>
      </c>
      <c r="I20" s="130"/>
      <c r="K20" s="127">
        <f t="shared" si="3"/>
        <v>17</v>
      </c>
      <c r="L20" s="129">
        <f>IF(K20='Con Calculations'!U$12,'Con Sales'!C$25,0)</f>
        <v>0</v>
      </c>
      <c r="M20" s="31">
        <f>SUM('Con Financing'!$D$15:'Con Financing'!D31)</f>
        <v>1</v>
      </c>
      <c r="N20" s="129">
        <f>IF(K20&lt;=('Con Calculations'!$U$5+'Con Sales'!$C$13),'Con Op Exp'!$C$12,0)</f>
        <v>0</v>
      </c>
      <c r="O20" s="369">
        <f>1000*'Con Financing'!D31</f>
        <v>0</v>
      </c>
      <c r="P20" s="12">
        <f t="shared" si="1"/>
        <v>0</v>
      </c>
      <c r="Q20" s="370">
        <f>P20*EFFECT('Con Financing'!$C$7,12)/12</f>
        <v>0</v>
      </c>
      <c r="R20" s="130"/>
      <c r="T20" s="39" t="s">
        <v>147</v>
      </c>
      <c r="U20" s="85">
        <f>IF('Construction Costs'!C5&gt;0,SUM('Construction Costs'!C11:C20)*'Construction Costs'!C5,SUM('Construction Costs'!D11:D20))+IF(SUM('Construction Costs'!$C$38:$C$43)&gt;0,SUM('Construction Costs'!$C$38:$C$43)*'Con Sales'!$C$24,SUM('Construction Costs'!$D$38:$D$43))+'Lot Sales'!C5</f>
        <v>317682.2329597951</v>
      </c>
      <c r="V20" s="85">
        <f>IF('Construction Costs'!E5&gt;0,SUM('Construction Costs'!G11:G20)*'Construction Costs'!E5,SUM('Construction Costs'!H11:H20))+IF(SUM('Construction Costs'!$G$38:$G$43)&gt;0,SUM('Construction Costs'!$G$38:$G$43)*'Con Sales'!$D$24,SUM('Construction Costs'!$H$38:$H$43))+'Lot Sales'!D5</f>
        <v>321287.5497504683</v>
      </c>
    </row>
    <row r="21" spans="2:22" ht="15">
      <c r="B21" s="127">
        <f t="shared" si="2"/>
        <v>18</v>
      </c>
      <c r="C21" s="129">
        <f>IF(B21='Con Calculations'!U$7,'Con Sales'!C$24,0)</f>
        <v>0</v>
      </c>
      <c r="D21" s="366">
        <f>SUM('Con Financing'!$C$15:'Con Financing'!C32)</f>
        <v>1</v>
      </c>
      <c r="E21" s="129">
        <f>IF(B21&lt;=('Con Calculations'!$U$5+'Con Sales'!$C$12),'Con Op Exp'!$C$12,0)</f>
        <v>0</v>
      </c>
      <c r="F21" s="369">
        <f>1000*'Con Financing'!C32</f>
        <v>0</v>
      </c>
      <c r="G21" s="12">
        <f t="shared" si="0"/>
        <v>0</v>
      </c>
      <c r="H21" s="370">
        <f>G21*EFFECT('Con Financing'!$C$7,12)/12</f>
        <v>0</v>
      </c>
      <c r="I21" s="130"/>
      <c r="K21" s="127">
        <f t="shared" si="3"/>
        <v>18</v>
      </c>
      <c r="L21" s="129">
        <f>IF(K21='Con Calculations'!U$12,'Con Sales'!C$25,0)</f>
        <v>0</v>
      </c>
      <c r="M21" s="31">
        <f>SUM('Con Financing'!$D$15:'Con Financing'!D32)</f>
        <v>1</v>
      </c>
      <c r="N21" s="129">
        <f>IF(K21&lt;=('Con Calculations'!$U$5+'Con Sales'!$C$13),'Con Op Exp'!$C$12,0)</f>
        <v>0</v>
      </c>
      <c r="O21" s="369">
        <f>1000*'Con Financing'!D32</f>
        <v>0</v>
      </c>
      <c r="P21" s="12">
        <f t="shared" si="1"/>
        <v>0</v>
      </c>
      <c r="Q21" s="370">
        <f>P21*EFFECT('Con Financing'!$C$7,12)/12</f>
        <v>0</v>
      </c>
      <c r="R21" s="130"/>
      <c r="T21" s="39" t="s">
        <v>83</v>
      </c>
      <c r="U21" s="85">
        <f>U20*'Con Financing'!C5</f>
        <v>254145.7863678361</v>
      </c>
      <c r="V21" s="85">
        <f>V20*'Con Financing'!E5</f>
        <v>257030.03980037465</v>
      </c>
    </row>
    <row r="22" spans="2:22" ht="15">
      <c r="B22" s="127">
        <f t="shared" si="2"/>
        <v>19</v>
      </c>
      <c r="C22" s="129">
        <f>IF(B22='Con Calculations'!U$7,'Con Sales'!C$24,0)</f>
        <v>0</v>
      </c>
      <c r="D22" s="366">
        <f>SUM('Con Financing'!$C$15:'Con Financing'!C33)</f>
        <v>1</v>
      </c>
      <c r="E22" s="129">
        <f>IF(B22&lt;=('Con Calculations'!$U$5+'Con Sales'!$C$12),'Con Op Exp'!$C$12,0)</f>
        <v>0</v>
      </c>
      <c r="F22" s="369">
        <f>1000*'Con Financing'!C33</f>
        <v>0</v>
      </c>
      <c r="G22" s="12">
        <f t="shared" si="0"/>
        <v>0</v>
      </c>
      <c r="H22" s="370">
        <f>G22*EFFECT('Con Financing'!$C$7,12)/12</f>
        <v>0</v>
      </c>
      <c r="I22" s="130"/>
      <c r="K22" s="127">
        <f t="shared" si="3"/>
        <v>19</v>
      </c>
      <c r="L22" s="129">
        <f>IF(K22='Con Calculations'!U$12,'Con Sales'!C$25,0)</f>
        <v>0</v>
      </c>
      <c r="M22" s="31">
        <f>SUM('Con Financing'!$D$15:'Con Financing'!D33)</f>
        <v>1</v>
      </c>
      <c r="N22" s="129">
        <f>IF(K22&lt;=('Con Calculations'!$U$5+'Con Sales'!$C$13),'Con Op Exp'!$C$12,0)</f>
        <v>0</v>
      </c>
      <c r="O22" s="369">
        <f>1000*'Con Financing'!D33</f>
        <v>0</v>
      </c>
      <c r="P22" s="12">
        <f t="shared" si="1"/>
        <v>0</v>
      </c>
      <c r="Q22" s="370">
        <f>P22*EFFECT('Con Financing'!$C$7,12)/12</f>
        <v>0</v>
      </c>
      <c r="R22" s="130"/>
      <c r="T22" s="39" t="s">
        <v>148</v>
      </c>
      <c r="U22" s="85">
        <f>U20-U21</f>
        <v>63536.446591959015</v>
      </c>
      <c r="V22" s="85">
        <f>V20-V21</f>
        <v>64257.509950093634</v>
      </c>
    </row>
    <row r="23" spans="2:22" ht="15">
      <c r="B23" s="127">
        <f t="shared" si="2"/>
        <v>20</v>
      </c>
      <c r="C23" s="129">
        <f>IF(B23='Con Calculations'!U$7,'Con Sales'!C$24,0)</f>
        <v>0</v>
      </c>
      <c r="D23" s="366">
        <f>SUM('Con Financing'!$C$15:'Con Financing'!C34)</f>
        <v>1</v>
      </c>
      <c r="E23" s="129">
        <f>IF(B23&lt;=('Con Calculations'!$U$5+'Con Sales'!$C$12),'Con Op Exp'!$C$12,0)</f>
        <v>0</v>
      </c>
      <c r="F23" s="369">
        <f>1000*'Con Financing'!C34</f>
        <v>0</v>
      </c>
      <c r="G23" s="12">
        <f t="shared" si="0"/>
        <v>0</v>
      </c>
      <c r="H23" s="370">
        <f>G23*EFFECT('Con Financing'!$C$7,12)/12</f>
        <v>0</v>
      </c>
      <c r="I23" s="130"/>
      <c r="K23" s="127">
        <f t="shared" si="3"/>
        <v>20</v>
      </c>
      <c r="L23" s="129">
        <f>IF(K23='Con Calculations'!U$12,'Con Sales'!C$25,0)</f>
        <v>0</v>
      </c>
      <c r="M23" s="31">
        <f>SUM('Con Financing'!$D$15:'Con Financing'!D34)</f>
        <v>1</v>
      </c>
      <c r="N23" s="129">
        <f>IF(K23&lt;=('Con Calculations'!$U$5+'Con Sales'!$C$13),'Con Op Exp'!$C$12,0)</f>
        <v>0</v>
      </c>
      <c r="O23" s="369">
        <f>1000*'Con Financing'!D34</f>
        <v>0</v>
      </c>
      <c r="P23" s="12">
        <f t="shared" si="1"/>
        <v>0</v>
      </c>
      <c r="Q23" s="370">
        <f>P23*EFFECT('Con Financing'!$C$7,12)/12</f>
        <v>0</v>
      </c>
      <c r="R23" s="130"/>
      <c r="T23" s="39"/>
      <c r="U23" s="85"/>
      <c r="V23" s="85"/>
    </row>
    <row r="24" spans="2:22" ht="15">
      <c r="B24" s="127">
        <f t="shared" si="2"/>
        <v>21</v>
      </c>
      <c r="C24" s="129">
        <f>IF(B24='Con Calculations'!U$7,'Con Sales'!C$24,0)</f>
        <v>0</v>
      </c>
      <c r="D24" s="366">
        <f>SUM('Con Financing'!$C$15:'Con Financing'!C35)</f>
        <v>1</v>
      </c>
      <c r="E24" s="129">
        <f>IF(B24&lt;=('Con Calculations'!$U$5+'Con Sales'!$C$12),'Con Op Exp'!$C$12,0)</f>
        <v>0</v>
      </c>
      <c r="F24" s="369">
        <f>1000*'Con Financing'!C35</f>
        <v>0</v>
      </c>
      <c r="G24" s="12">
        <f t="shared" si="0"/>
        <v>0</v>
      </c>
      <c r="H24" s="370">
        <f>G24*EFFECT('Con Financing'!$C$7,12)/12</f>
        <v>0</v>
      </c>
      <c r="I24" s="130"/>
      <c r="K24" s="127">
        <f t="shared" si="3"/>
        <v>21</v>
      </c>
      <c r="L24" s="129">
        <f>IF(K24='Con Calculations'!U$12,'Con Sales'!C$25,0)</f>
        <v>0</v>
      </c>
      <c r="M24" s="31">
        <f>SUM('Con Financing'!$D$15:'Con Financing'!D35)</f>
        <v>1</v>
      </c>
      <c r="N24" s="129">
        <f>IF(K24&lt;=('Con Calculations'!$U$5+'Con Sales'!$C$13),'Con Op Exp'!$C$12,0)</f>
        <v>0</v>
      </c>
      <c r="O24" s="369">
        <f>1000*'Con Financing'!D35</f>
        <v>0</v>
      </c>
      <c r="P24" s="12">
        <f t="shared" si="1"/>
        <v>0</v>
      </c>
      <c r="Q24" s="370">
        <f>P24*EFFECT('Con Financing'!$C$7,12)/12</f>
        <v>0</v>
      </c>
      <c r="R24" s="130"/>
      <c r="T24" s="159"/>
      <c r="U24" s="160"/>
      <c r="V24" s="160"/>
    </row>
    <row r="25" spans="2:22" ht="15">
      <c r="B25" s="127">
        <f t="shared" si="2"/>
        <v>22</v>
      </c>
      <c r="C25" s="129">
        <f>IF(B25='Con Calculations'!U$7,'Con Sales'!C$24,0)</f>
        <v>0</v>
      </c>
      <c r="D25" s="366">
        <f>SUM('Con Financing'!$C$15:'Con Financing'!C36)</f>
        <v>1</v>
      </c>
      <c r="E25" s="129">
        <f>IF(B25&lt;=('Con Calculations'!$U$5+'Con Sales'!$C$12),'Con Op Exp'!$C$12,0)</f>
        <v>0</v>
      </c>
      <c r="F25" s="369">
        <f>1000*'Con Financing'!C36</f>
        <v>0</v>
      </c>
      <c r="G25" s="12">
        <f t="shared" si="0"/>
        <v>0</v>
      </c>
      <c r="H25" s="370">
        <f>G25*EFFECT('Con Financing'!$C$7,12)/12</f>
        <v>0</v>
      </c>
      <c r="I25" s="130"/>
      <c r="K25" s="127">
        <f t="shared" si="3"/>
        <v>22</v>
      </c>
      <c r="L25" s="129">
        <f>IF(K25='Con Calculations'!U$12,'Con Sales'!C$25,0)</f>
        <v>0</v>
      </c>
      <c r="M25" s="31">
        <f>SUM('Con Financing'!$D$15:'Con Financing'!D36)</f>
        <v>1</v>
      </c>
      <c r="N25" s="129">
        <f>IF(K25&lt;=('Con Calculations'!$U$5+'Con Sales'!$C$13),'Con Op Exp'!$C$12,0)</f>
        <v>0</v>
      </c>
      <c r="O25" s="369">
        <f>1000*'Con Financing'!D36</f>
        <v>0</v>
      </c>
      <c r="P25" s="12">
        <f t="shared" si="1"/>
        <v>0</v>
      </c>
      <c r="Q25" s="370">
        <f>P25*EFFECT('Con Financing'!$C$7,12)/12</f>
        <v>0</v>
      </c>
      <c r="R25" s="130"/>
      <c r="T25" s="75" t="s">
        <v>80</v>
      </c>
      <c r="U25" s="24"/>
      <c r="V25" s="24"/>
    </row>
    <row r="26" spans="2:22" ht="15">
      <c r="B26" s="127">
        <f t="shared" si="2"/>
        <v>23</v>
      </c>
      <c r="C26" s="129">
        <f>IF(B26='Con Calculations'!U$7,'Con Sales'!C$24,0)</f>
        <v>0</v>
      </c>
      <c r="D26" s="366">
        <f>SUM('Con Financing'!$C$15:'Con Financing'!C37)</f>
        <v>1</v>
      </c>
      <c r="E26" s="129">
        <f>IF(B26&lt;=('Con Calculations'!$U$5+'Con Sales'!$C$12),'Con Op Exp'!$C$12,0)</f>
        <v>0</v>
      </c>
      <c r="F26" s="369">
        <f>1000*'Con Financing'!C37</f>
        <v>0</v>
      </c>
      <c r="G26" s="12">
        <f t="shared" si="0"/>
        <v>0</v>
      </c>
      <c r="H26" s="370">
        <f>G26*EFFECT('Con Financing'!$C$7,12)/12</f>
        <v>0</v>
      </c>
      <c r="I26" s="130"/>
      <c r="K26" s="127">
        <f t="shared" si="3"/>
        <v>23</v>
      </c>
      <c r="L26" s="129">
        <f>IF(K26='Con Calculations'!U$12,'Con Sales'!C$25,0)</f>
        <v>0</v>
      </c>
      <c r="M26" s="31">
        <f>SUM('Con Financing'!$D$15:'Con Financing'!D37)</f>
        <v>1</v>
      </c>
      <c r="N26" s="129">
        <f>IF(K26&lt;=('Con Calculations'!$U$5+'Con Sales'!$C$13),'Con Op Exp'!$C$12,0)</f>
        <v>0</v>
      </c>
      <c r="O26" s="369">
        <f>1000*'Con Financing'!D37</f>
        <v>0</v>
      </c>
      <c r="P26" s="12">
        <f t="shared" si="1"/>
        <v>0</v>
      </c>
      <c r="Q26" s="370">
        <f>P26*EFFECT('Con Financing'!$C$7,12)/12</f>
        <v>0</v>
      </c>
      <c r="R26" s="130"/>
      <c r="T26" s="39" t="s">
        <v>147</v>
      </c>
      <c r="U26" s="85">
        <f>IF('Construction Costs'!C6&gt;0,SUM('Construction Costs'!C24:C33)*'Construction Costs'!C6,SUM('Construction Costs'!D24:D33))+IF(SUM('Construction Costs'!$C$38:$C$43)&gt;0,SUM('Construction Costs'!$C$38:$C$43)*'Con Sales'!$C$25,SUM('Construction Costs'!$D$38:$D$43))+'Lot Sales'!C6</f>
        <v>230395.6159224433</v>
      </c>
      <c r="V26" s="85">
        <f>IF('Construction Costs'!E6&gt;0,SUM('Construction Costs'!G24:G33)*'Construction Costs'!E6,SUM('Construction Costs'!H24:H33))+IF(SUM('Construction Costs'!$G$38:$G$43)&gt;0,SUM('Construction Costs'!$G$38:$G$43)*'Con Sales'!$D$25,SUM('Construction Costs'!$H$38:$H$43))+'Lot Sales'!D6</f>
        <v>230395.6159224433</v>
      </c>
    </row>
    <row r="27" spans="2:22" ht="15">
      <c r="B27" s="127">
        <f t="shared" si="2"/>
        <v>24</v>
      </c>
      <c r="C27" s="129">
        <f>IF(B27='Con Calculations'!U$7,'Con Sales'!C$24,0)</f>
        <v>0</v>
      </c>
      <c r="D27" s="366">
        <f>SUM('Con Financing'!$C$15:'Con Financing'!C38)</f>
        <v>1</v>
      </c>
      <c r="E27" s="129">
        <f>IF(B27&lt;=('Con Calculations'!$U$5+'Con Sales'!$C$12),'Con Op Exp'!$C$12,0)</f>
        <v>0</v>
      </c>
      <c r="F27" s="369">
        <f>1000*'Con Financing'!C38</f>
        <v>0</v>
      </c>
      <c r="G27" s="12">
        <f t="shared" si="0"/>
        <v>0</v>
      </c>
      <c r="H27" s="370">
        <f>G27*EFFECT('Con Financing'!$C$7,12)/12</f>
        <v>0</v>
      </c>
      <c r="I27" s="130"/>
      <c r="K27" s="127">
        <f t="shared" si="3"/>
        <v>24</v>
      </c>
      <c r="L27" s="129">
        <f>IF(K27='Con Calculations'!U$12,'Con Sales'!C$25,0)</f>
        <v>0</v>
      </c>
      <c r="M27" s="31">
        <f>SUM('Con Financing'!$D$15:'Con Financing'!D38)</f>
        <v>1</v>
      </c>
      <c r="N27" s="129">
        <f>IF(K27&lt;=('Con Calculations'!$U$5+'Con Sales'!$C$13),'Con Op Exp'!$C$12,0)</f>
        <v>0</v>
      </c>
      <c r="O27" s="369">
        <f>1000*'Con Financing'!D38</f>
        <v>0</v>
      </c>
      <c r="P27" s="12">
        <f t="shared" si="1"/>
        <v>0</v>
      </c>
      <c r="Q27" s="370">
        <f>P27*EFFECT('Con Financing'!$C$7,12)/12</f>
        <v>0</v>
      </c>
      <c r="R27" s="130"/>
      <c r="T27" s="39" t="s">
        <v>83</v>
      </c>
      <c r="U27" s="85">
        <f>U26*'Con Financing'!C5</f>
        <v>184316.49273795466</v>
      </c>
      <c r="V27" s="85">
        <f>V26*'Con Financing'!E5</f>
        <v>184316.49273795466</v>
      </c>
    </row>
    <row r="28" spans="2:22" ht="15">
      <c r="B28" s="127">
        <f t="shared" si="2"/>
        <v>25</v>
      </c>
      <c r="C28" s="129">
        <f>IF(B28='Con Calculations'!U$7,'Con Sales'!C$24,0)</f>
        <v>0</v>
      </c>
      <c r="D28" s="366">
        <f>SUM('Con Financing'!$C$15:'Con Financing'!C39)</f>
        <v>1</v>
      </c>
      <c r="E28" s="129">
        <f>IF(B28&lt;=('Con Calculations'!$U$5+'Con Sales'!$C$12),'Con Op Exp'!$C$12,0)</f>
        <v>0</v>
      </c>
      <c r="F28" s="369">
        <f>1000*'Con Financing'!C39</f>
        <v>0</v>
      </c>
      <c r="G28" s="12">
        <f t="shared" si="0"/>
        <v>0</v>
      </c>
      <c r="H28" s="370">
        <f>G28*EFFECT('Con Financing'!$C$7,12)/12</f>
        <v>0</v>
      </c>
      <c r="I28" s="130"/>
      <c r="K28" s="127">
        <f t="shared" si="3"/>
        <v>25</v>
      </c>
      <c r="L28" s="129">
        <f>IF(K28='Con Calculations'!U$12,'Con Sales'!C$25,0)</f>
        <v>0</v>
      </c>
      <c r="M28" s="31">
        <f>SUM('Con Financing'!$D$15:'Con Financing'!D39)</f>
        <v>1</v>
      </c>
      <c r="N28" s="129">
        <f>IF(K28&lt;=('Con Calculations'!$U$5+'Con Sales'!$C$13),'Con Op Exp'!$C$12,0)</f>
        <v>0</v>
      </c>
      <c r="O28" s="369">
        <f>1000*'Con Financing'!D39</f>
        <v>0</v>
      </c>
      <c r="P28" s="12">
        <f t="shared" si="1"/>
        <v>0</v>
      </c>
      <c r="Q28" s="370">
        <f>P28*EFFECT('Con Financing'!$C$7,12)/12</f>
        <v>0</v>
      </c>
      <c r="R28" s="130"/>
      <c r="T28" s="39" t="s">
        <v>148</v>
      </c>
      <c r="U28" s="85">
        <f>U26-U27</f>
        <v>46079.12318448865</v>
      </c>
      <c r="V28" s="85">
        <f>V26-V27</f>
        <v>46079.12318448865</v>
      </c>
    </row>
    <row r="29" spans="2:22" ht="15.75" thickBot="1">
      <c r="B29" s="127">
        <f t="shared" si="2"/>
        <v>26</v>
      </c>
      <c r="C29" s="129">
        <f>IF(B29='Con Calculations'!U$7,'Con Sales'!C$24,0)</f>
        <v>0</v>
      </c>
      <c r="D29" s="366">
        <f>SUM('Con Financing'!$C$15:'Con Financing'!C40)</f>
        <v>1</v>
      </c>
      <c r="E29" s="129">
        <f>IF(B29&lt;=('Con Calculations'!$U$5+'Con Sales'!$C$12),'Con Op Exp'!$C$12,0)</f>
        <v>0</v>
      </c>
      <c r="F29" s="369">
        <f>1000*'Con Financing'!C40</f>
        <v>0</v>
      </c>
      <c r="G29" s="12">
        <f t="shared" si="0"/>
        <v>0</v>
      </c>
      <c r="H29" s="370">
        <f>G29*EFFECT('Con Financing'!$C$7,12)/12</f>
        <v>0</v>
      </c>
      <c r="I29" s="130"/>
      <c r="K29" s="127">
        <f t="shared" si="3"/>
        <v>26</v>
      </c>
      <c r="L29" s="129">
        <f>IF(K29='Con Calculations'!U$12,'Con Sales'!C$25,0)</f>
        <v>0</v>
      </c>
      <c r="M29" s="31">
        <f>SUM('Con Financing'!$D$15:'Con Financing'!D40)</f>
        <v>1</v>
      </c>
      <c r="N29" s="129">
        <f>IF(K29&lt;=('Con Calculations'!$U$5+'Con Sales'!$C$13),'Con Op Exp'!$C$12,0)</f>
        <v>0</v>
      </c>
      <c r="O29" s="369">
        <f>1000*'Con Financing'!D40</f>
        <v>0</v>
      </c>
      <c r="P29" s="12">
        <f t="shared" si="1"/>
        <v>0</v>
      </c>
      <c r="Q29" s="370">
        <f>P29*EFFECT('Con Financing'!$C$7,12)/12</f>
        <v>0</v>
      </c>
      <c r="R29" s="130"/>
      <c r="T29" s="29"/>
      <c r="U29" s="96"/>
      <c r="V29" s="96"/>
    </row>
    <row r="30" spans="2:18" ht="15">
      <c r="B30" s="127">
        <f t="shared" si="2"/>
        <v>27</v>
      </c>
      <c r="C30" s="129">
        <f>IF(B30='Con Calculations'!U$7,'Con Sales'!C$24,0)</f>
        <v>0</v>
      </c>
      <c r="D30" s="366">
        <f>SUM('Con Financing'!$C$15:'Con Financing'!C41)</f>
        <v>1</v>
      </c>
      <c r="E30" s="129">
        <f>IF(B30&lt;=('Con Calculations'!$U$5+'Con Sales'!$C$12),'Con Op Exp'!$C$12,0)</f>
        <v>0</v>
      </c>
      <c r="F30" s="369">
        <f>1000*'Con Financing'!C41</f>
        <v>0</v>
      </c>
      <c r="G30" s="12">
        <f t="shared" si="0"/>
        <v>0</v>
      </c>
      <c r="H30" s="370">
        <f>G30*EFFECT('Con Financing'!$C$7,12)/12</f>
        <v>0</v>
      </c>
      <c r="I30" s="130"/>
      <c r="K30" s="127">
        <f t="shared" si="3"/>
        <v>27</v>
      </c>
      <c r="L30" s="129">
        <f>IF(K30='Con Calculations'!U$12,'Con Sales'!C$25,0)</f>
        <v>0</v>
      </c>
      <c r="M30" s="31">
        <f>SUM('Con Financing'!$D$15:'Con Financing'!D41)</f>
        <v>1</v>
      </c>
      <c r="N30" s="129">
        <f>IF(K30&lt;=('Con Calculations'!$U$5+'Con Sales'!$C$13),'Con Op Exp'!$C$12,0)</f>
        <v>0</v>
      </c>
      <c r="O30" s="369">
        <f>1000*'Con Financing'!D41</f>
        <v>0</v>
      </c>
      <c r="P30" s="12">
        <f t="shared" si="1"/>
        <v>0</v>
      </c>
      <c r="Q30" s="370">
        <f>P30*EFFECT('Con Financing'!$C$7,12)/12</f>
        <v>0</v>
      </c>
      <c r="R30" s="130"/>
    </row>
    <row r="31" spans="2:18" ht="15">
      <c r="B31" s="127">
        <f t="shared" si="2"/>
        <v>28</v>
      </c>
      <c r="C31" s="129">
        <f>IF(B31='Con Calculations'!U$7,'Con Sales'!C$24,0)</f>
        <v>0</v>
      </c>
      <c r="D31" s="366">
        <f>SUM('Con Financing'!$C$15:'Con Financing'!C42)</f>
        <v>1</v>
      </c>
      <c r="E31" s="129">
        <f>IF(B31&lt;=('Con Calculations'!$U$5+'Con Sales'!$C$12),'Con Op Exp'!$C$12,0)</f>
        <v>0</v>
      </c>
      <c r="F31" s="369">
        <f>1000*'Con Financing'!C42</f>
        <v>0</v>
      </c>
      <c r="G31" s="12">
        <f t="shared" si="0"/>
        <v>0</v>
      </c>
      <c r="H31" s="370">
        <f>G31*EFFECT('Con Financing'!$C$7,12)/12</f>
        <v>0</v>
      </c>
      <c r="I31" s="130"/>
      <c r="K31" s="127">
        <f t="shared" si="3"/>
        <v>28</v>
      </c>
      <c r="L31" s="129">
        <f>IF(K31='Con Calculations'!U$12,'Con Sales'!C$25,0)</f>
        <v>0</v>
      </c>
      <c r="M31" s="31">
        <f>SUM('Con Financing'!$D$15:'Con Financing'!D42)</f>
        <v>1</v>
      </c>
      <c r="N31" s="129">
        <f>IF(K31&lt;=('Con Calculations'!$U$5+'Con Sales'!$C$13),'Con Op Exp'!$C$12,0)</f>
        <v>0</v>
      </c>
      <c r="O31" s="369">
        <f>1000*'Con Financing'!D42</f>
        <v>0</v>
      </c>
      <c r="P31" s="12">
        <f t="shared" si="1"/>
        <v>0</v>
      </c>
      <c r="Q31" s="370">
        <f>P31*EFFECT('Con Financing'!$C$7,12)/12</f>
        <v>0</v>
      </c>
      <c r="R31" s="130"/>
    </row>
    <row r="32" spans="2:18" ht="15">
      <c r="B32" s="127">
        <f t="shared" si="2"/>
        <v>29</v>
      </c>
      <c r="C32" s="129">
        <f>IF(B32='Con Calculations'!U$7,'Con Sales'!C$24,0)</f>
        <v>0</v>
      </c>
      <c r="D32" s="366">
        <f>SUM('Con Financing'!$C$15:'Con Financing'!C43)</f>
        <v>1</v>
      </c>
      <c r="E32" s="129">
        <f>IF(B32&lt;=('Con Calculations'!$U$5+'Con Sales'!$C$12),'Con Op Exp'!$C$12,0)</f>
        <v>0</v>
      </c>
      <c r="F32" s="369">
        <f>1000*'Con Financing'!C43</f>
        <v>0</v>
      </c>
      <c r="G32" s="12">
        <f t="shared" si="0"/>
        <v>0</v>
      </c>
      <c r="H32" s="370">
        <f>G32*EFFECT('Con Financing'!$C$7,12)/12</f>
        <v>0</v>
      </c>
      <c r="I32" s="130"/>
      <c r="K32" s="127">
        <f t="shared" si="3"/>
        <v>29</v>
      </c>
      <c r="L32" s="129">
        <f>IF(K32='Con Calculations'!U$12,'Con Sales'!C$25,0)</f>
        <v>0</v>
      </c>
      <c r="M32" s="31">
        <f>SUM('Con Financing'!$D$15:'Con Financing'!D43)</f>
        <v>1</v>
      </c>
      <c r="N32" s="129">
        <f>IF(K32&lt;=('Con Calculations'!$U$5+'Con Sales'!$C$13),'Con Op Exp'!$C$12,0)</f>
        <v>0</v>
      </c>
      <c r="O32" s="369">
        <f>1000*'Con Financing'!D43</f>
        <v>0</v>
      </c>
      <c r="P32" s="12">
        <f t="shared" si="1"/>
        <v>0</v>
      </c>
      <c r="Q32" s="370">
        <f>P32*EFFECT('Con Financing'!$C$7,12)/12</f>
        <v>0</v>
      </c>
      <c r="R32" s="130"/>
    </row>
    <row r="33" spans="2:18" ht="15">
      <c r="B33" s="127">
        <f t="shared" si="2"/>
        <v>30</v>
      </c>
      <c r="C33" s="129">
        <f>IF(B33='Con Calculations'!U$7,'Con Sales'!C$24,0)</f>
        <v>0</v>
      </c>
      <c r="D33" s="366">
        <f>SUM('Con Financing'!$C$15:'Con Financing'!C44)</f>
        <v>1</v>
      </c>
      <c r="E33" s="129">
        <f>IF(B33&lt;=('Con Calculations'!$U$5+'Con Sales'!$C$12),'Con Op Exp'!$C$12,0)</f>
        <v>0</v>
      </c>
      <c r="F33" s="369">
        <f>1000*'Con Financing'!C44</f>
        <v>0</v>
      </c>
      <c r="G33" s="12">
        <f t="shared" si="0"/>
        <v>0</v>
      </c>
      <c r="H33" s="370">
        <f>G33*EFFECT('Con Financing'!$C$7,12)/12</f>
        <v>0</v>
      </c>
      <c r="I33" s="130"/>
      <c r="K33" s="127">
        <f t="shared" si="3"/>
        <v>30</v>
      </c>
      <c r="L33" s="129">
        <f>IF(K33='Con Calculations'!U$12,'Con Sales'!C$25,0)</f>
        <v>0</v>
      </c>
      <c r="M33" s="31">
        <f>SUM('Con Financing'!$D$15:'Con Financing'!D44)</f>
        <v>1</v>
      </c>
      <c r="N33" s="129">
        <f>IF(K33&lt;=('Con Calculations'!$U$5+'Con Sales'!$C$13),'Con Op Exp'!$C$12,0)</f>
        <v>0</v>
      </c>
      <c r="O33" s="369">
        <f>1000*'Con Financing'!D44</f>
        <v>0</v>
      </c>
      <c r="P33" s="12">
        <f t="shared" si="1"/>
        <v>0</v>
      </c>
      <c r="Q33" s="370">
        <f>P33*EFFECT('Con Financing'!$C$7,12)/12</f>
        <v>0</v>
      </c>
      <c r="R33" s="130"/>
    </row>
    <row r="34" spans="2:18" ht="15">
      <c r="B34" s="127">
        <f t="shared" si="2"/>
        <v>31</v>
      </c>
      <c r="C34" s="129">
        <f>IF(B34='Con Calculations'!U$7,'Con Sales'!C$24,0)</f>
        <v>0</v>
      </c>
      <c r="D34" s="366">
        <f>SUM('Con Financing'!$C$15:'Con Financing'!C45)</f>
        <v>1</v>
      </c>
      <c r="E34" s="129">
        <f>IF(B34&lt;=('Con Calculations'!$U$5+'Con Sales'!$C$12),'Con Op Exp'!$C$12,0)</f>
        <v>0</v>
      </c>
      <c r="F34" s="369">
        <f>1000*'Con Financing'!C45</f>
        <v>0</v>
      </c>
      <c r="G34" s="12">
        <f t="shared" si="0"/>
        <v>0</v>
      </c>
      <c r="H34" s="370">
        <f>G34*EFFECT('Con Financing'!$C$7,12)/12</f>
        <v>0</v>
      </c>
      <c r="I34" s="130"/>
      <c r="K34" s="127">
        <f t="shared" si="3"/>
        <v>31</v>
      </c>
      <c r="L34" s="129">
        <f>IF(K34='Con Calculations'!U$12,'Con Sales'!C$25,0)</f>
        <v>0</v>
      </c>
      <c r="M34" s="31">
        <f>SUM('Con Financing'!$D$15:'Con Financing'!D45)</f>
        <v>1</v>
      </c>
      <c r="N34" s="129">
        <f>IF(K34&lt;=('Con Calculations'!$U$5+'Con Sales'!$C$13),'Con Op Exp'!$C$12,0)</f>
        <v>0</v>
      </c>
      <c r="O34" s="369">
        <f>1000*'Con Financing'!D45</f>
        <v>0</v>
      </c>
      <c r="P34" s="12">
        <f t="shared" si="1"/>
        <v>0</v>
      </c>
      <c r="Q34" s="370">
        <f>P34*EFFECT('Con Financing'!$C$7,12)/12</f>
        <v>0</v>
      </c>
      <c r="R34" s="130"/>
    </row>
    <row r="35" spans="2:18" ht="15">
      <c r="B35" s="127">
        <f t="shared" si="2"/>
        <v>32</v>
      </c>
      <c r="C35" s="129">
        <f>IF(B35='Con Calculations'!U$7,'Con Sales'!C$24,0)</f>
        <v>0</v>
      </c>
      <c r="D35" s="366">
        <f>SUM('Con Financing'!$C$15:'Con Financing'!C46)</f>
        <v>1</v>
      </c>
      <c r="E35" s="129">
        <f>IF(B35&lt;=('Con Calculations'!$U$5+'Con Sales'!$C$12),'Con Op Exp'!$C$12,0)</f>
        <v>0</v>
      </c>
      <c r="F35" s="369">
        <f>1000*'Con Financing'!C46</f>
        <v>0</v>
      </c>
      <c r="G35" s="12">
        <f t="shared" si="0"/>
        <v>0</v>
      </c>
      <c r="H35" s="370">
        <f>G35*EFFECT('Con Financing'!$C$7,12)/12</f>
        <v>0</v>
      </c>
      <c r="I35" s="130"/>
      <c r="K35" s="127">
        <f t="shared" si="3"/>
        <v>32</v>
      </c>
      <c r="L35" s="129">
        <f>IF(K35='Con Calculations'!U$12,'Con Sales'!C$25,0)</f>
        <v>0</v>
      </c>
      <c r="M35" s="31">
        <f>SUM('Con Financing'!$D$15:'Con Financing'!D46)</f>
        <v>1</v>
      </c>
      <c r="N35" s="129">
        <f>IF(K35&lt;=('Con Calculations'!$U$5+'Con Sales'!$C$13),'Con Op Exp'!$C$12,0)</f>
        <v>0</v>
      </c>
      <c r="O35" s="369">
        <f>1000*'Con Financing'!D46</f>
        <v>0</v>
      </c>
      <c r="P35" s="12">
        <f t="shared" si="1"/>
        <v>0</v>
      </c>
      <c r="Q35" s="370">
        <f>P35*EFFECT('Con Financing'!$C$7,12)/12</f>
        <v>0</v>
      </c>
      <c r="R35" s="130"/>
    </row>
    <row r="36" spans="2:18" ht="15">
      <c r="B36" s="127">
        <f t="shared" si="2"/>
        <v>33</v>
      </c>
      <c r="C36" s="129">
        <f>IF(B36='Con Calculations'!U$7,'Con Sales'!C$24,0)</f>
        <v>0</v>
      </c>
      <c r="D36" s="366">
        <f>SUM('Con Financing'!$C$15:'Con Financing'!C47)</f>
        <v>1</v>
      </c>
      <c r="E36" s="129">
        <f>IF(B36&lt;=('Con Calculations'!$U$5+'Con Sales'!$C$12),'Con Op Exp'!$C$12,0)</f>
        <v>0</v>
      </c>
      <c r="F36" s="369">
        <f>1000*'Con Financing'!C47</f>
        <v>0</v>
      </c>
      <c r="G36" s="12">
        <f t="shared" si="0"/>
        <v>0</v>
      </c>
      <c r="H36" s="370">
        <f>G36*EFFECT('Con Financing'!$C$7,12)/12</f>
        <v>0</v>
      </c>
      <c r="I36" s="130"/>
      <c r="K36" s="127">
        <f t="shared" si="3"/>
        <v>33</v>
      </c>
      <c r="L36" s="129">
        <f>IF(K36='Con Calculations'!U$12,'Con Sales'!C$25,0)</f>
        <v>0</v>
      </c>
      <c r="M36" s="31">
        <f>SUM('Con Financing'!$D$15:'Con Financing'!D47)</f>
        <v>1</v>
      </c>
      <c r="N36" s="129">
        <f>IF(K36&lt;=('Con Calculations'!$U$5+'Con Sales'!$C$13),'Con Op Exp'!$C$12,0)</f>
        <v>0</v>
      </c>
      <c r="O36" s="369">
        <f>1000*'Con Financing'!D47</f>
        <v>0</v>
      </c>
      <c r="P36" s="12">
        <f t="shared" si="1"/>
        <v>0</v>
      </c>
      <c r="Q36" s="370">
        <f>P36*EFFECT('Con Financing'!$C$7,12)/12</f>
        <v>0</v>
      </c>
      <c r="R36" s="130"/>
    </row>
    <row r="37" spans="2:18" ht="15">
      <c r="B37" s="127">
        <f t="shared" si="2"/>
        <v>34</v>
      </c>
      <c r="C37" s="129">
        <f>IF(B37='Con Calculations'!U$7,'Con Sales'!C$24,0)</f>
        <v>0</v>
      </c>
      <c r="D37" s="366">
        <f>SUM('Con Financing'!$C$15:'Con Financing'!C48)</f>
        <v>1</v>
      </c>
      <c r="E37" s="129">
        <f>IF(B37&lt;=('Con Calculations'!$U$5+'Con Sales'!$C$12),'Con Op Exp'!$C$12,0)</f>
        <v>0</v>
      </c>
      <c r="F37" s="369">
        <f>1000*'Con Financing'!C48</f>
        <v>0</v>
      </c>
      <c r="G37" s="12">
        <f t="shared" si="0"/>
        <v>0</v>
      </c>
      <c r="H37" s="370">
        <f>G37*EFFECT('Con Financing'!$C$7,12)/12</f>
        <v>0</v>
      </c>
      <c r="I37" s="130"/>
      <c r="K37" s="127">
        <f t="shared" si="3"/>
        <v>34</v>
      </c>
      <c r="L37" s="129">
        <f>IF(K37='Con Calculations'!U$12,'Con Sales'!C$25,0)</f>
        <v>0</v>
      </c>
      <c r="M37" s="31">
        <f>SUM('Con Financing'!$D$15:'Con Financing'!D48)</f>
        <v>1</v>
      </c>
      <c r="N37" s="129">
        <f>IF(K37&lt;=('Con Calculations'!$U$5+'Con Sales'!$C$13),'Con Op Exp'!$C$12,0)</f>
        <v>0</v>
      </c>
      <c r="O37" s="369">
        <f>1000*'Con Financing'!D48</f>
        <v>0</v>
      </c>
      <c r="P37" s="12">
        <f t="shared" si="1"/>
        <v>0</v>
      </c>
      <c r="Q37" s="370">
        <f>P37*EFFECT('Con Financing'!$C$7,12)/12</f>
        <v>0</v>
      </c>
      <c r="R37" s="130"/>
    </row>
    <row r="38" spans="2:18" ht="15">
      <c r="B38" s="127">
        <f t="shared" si="2"/>
        <v>35</v>
      </c>
      <c r="C38" s="129">
        <f>IF(B38='Con Calculations'!U$7,'Con Sales'!C$24,0)</f>
        <v>0</v>
      </c>
      <c r="D38" s="366">
        <f>SUM('Con Financing'!$C$15:'Con Financing'!C49)</f>
        <v>1</v>
      </c>
      <c r="E38" s="129">
        <f>IF(B38&lt;=('Con Calculations'!$U$5+'Con Sales'!$C$12),'Con Op Exp'!$C$12,0)</f>
        <v>0</v>
      </c>
      <c r="F38" s="369">
        <f>1000*'Con Financing'!C49</f>
        <v>0</v>
      </c>
      <c r="G38" s="12">
        <f t="shared" si="0"/>
        <v>0</v>
      </c>
      <c r="H38" s="370">
        <f>G38*EFFECT('Con Financing'!$C$7,12)/12</f>
        <v>0</v>
      </c>
      <c r="I38" s="130"/>
      <c r="K38" s="127">
        <f t="shared" si="3"/>
        <v>35</v>
      </c>
      <c r="L38" s="129">
        <f>IF(K38='Con Calculations'!U$12,'Con Sales'!C$25,0)</f>
        <v>0</v>
      </c>
      <c r="M38" s="31">
        <f>SUM('Con Financing'!$D$15:'Con Financing'!D49)</f>
        <v>1</v>
      </c>
      <c r="N38" s="129">
        <f>IF(K38&lt;=('Con Calculations'!$U$5+'Con Sales'!$C$13),'Con Op Exp'!$C$12,0)</f>
        <v>0</v>
      </c>
      <c r="O38" s="369">
        <f>1000*'Con Financing'!D49</f>
        <v>0</v>
      </c>
      <c r="P38" s="12">
        <f t="shared" si="1"/>
        <v>0</v>
      </c>
      <c r="Q38" s="370">
        <f>P38*EFFECT('Con Financing'!$C$7,12)/12</f>
        <v>0</v>
      </c>
      <c r="R38" s="130"/>
    </row>
    <row r="39" spans="2:18" ht="15">
      <c r="B39" s="127">
        <f t="shared" si="2"/>
        <v>36</v>
      </c>
      <c r="C39" s="129">
        <f>IF(B39='Con Calculations'!U$7,'Con Sales'!C$24,0)</f>
        <v>0</v>
      </c>
      <c r="D39" s="366">
        <f>SUM('Con Financing'!$C$15:'Con Financing'!C50)</f>
        <v>1</v>
      </c>
      <c r="E39" s="129">
        <f>IF(B39&lt;=('Con Calculations'!$U$5+'Con Sales'!$C$12),'Con Op Exp'!$C$12,0)</f>
        <v>0</v>
      </c>
      <c r="F39" s="369">
        <f>1000*'Con Financing'!C50</f>
        <v>0</v>
      </c>
      <c r="G39" s="12">
        <f t="shared" si="0"/>
        <v>0</v>
      </c>
      <c r="H39" s="370">
        <f>G39*EFFECT('Con Financing'!$C$7,12)/12</f>
        <v>0</v>
      </c>
      <c r="I39" s="130"/>
      <c r="K39" s="127">
        <f t="shared" si="3"/>
        <v>36</v>
      </c>
      <c r="L39" s="129">
        <f>IF(K39='Con Calculations'!U$12,'Con Sales'!C$25,0)</f>
        <v>0</v>
      </c>
      <c r="M39" s="31">
        <f>SUM('Con Financing'!$D$15:'Con Financing'!D50)</f>
        <v>1</v>
      </c>
      <c r="N39" s="129">
        <f>IF(K39&lt;=('Con Calculations'!$U$5+'Con Sales'!$C$13),'Con Op Exp'!$C$12,0)</f>
        <v>0</v>
      </c>
      <c r="O39" s="369">
        <f>1000*'Con Financing'!D50</f>
        <v>0</v>
      </c>
      <c r="P39" s="12">
        <f t="shared" si="1"/>
        <v>0</v>
      </c>
      <c r="Q39" s="370">
        <f>P39*EFFECT('Con Financing'!$C$7,12)/12</f>
        <v>0</v>
      </c>
      <c r="R39" s="130"/>
    </row>
    <row r="40" spans="2:18" ht="15.75" thickBot="1">
      <c r="B40" s="131"/>
      <c r="C40" s="132"/>
      <c r="D40" s="132"/>
      <c r="E40" s="132"/>
      <c r="F40" s="371"/>
      <c r="G40" s="132"/>
      <c r="H40" s="372"/>
      <c r="I40" s="133"/>
      <c r="K40" s="131"/>
      <c r="L40" s="132"/>
      <c r="M40" s="132"/>
      <c r="N40" s="64"/>
      <c r="O40" s="371"/>
      <c r="P40" s="132"/>
      <c r="Q40" s="372"/>
      <c r="R40" s="133"/>
    </row>
    <row r="41" ht="15">
      <c r="M41" s="93"/>
    </row>
    <row r="42" spans="9:13" ht="15.75" thickBot="1">
      <c r="I42" s="93"/>
      <c r="M42" s="93"/>
    </row>
    <row r="43" spans="2:18" ht="15.75" thickBot="1">
      <c r="B43" s="61" t="s">
        <v>84</v>
      </c>
      <c r="C43" s="60" t="s">
        <v>89</v>
      </c>
      <c r="D43" s="60"/>
      <c r="E43" s="46"/>
      <c r="F43" s="533" t="s">
        <v>209</v>
      </c>
      <c r="G43" s="534"/>
      <c r="H43" s="535"/>
      <c r="I43" s="47"/>
      <c r="K43" s="61" t="s">
        <v>84</v>
      </c>
      <c r="L43" s="60" t="s">
        <v>100</v>
      </c>
      <c r="M43" s="60"/>
      <c r="N43" s="46"/>
      <c r="O43" s="533" t="s">
        <v>209</v>
      </c>
      <c r="P43" s="534"/>
      <c r="Q43" s="535"/>
      <c r="R43" s="47"/>
    </row>
    <row r="44" spans="2:18" ht="15">
      <c r="B44" s="134" t="s">
        <v>26</v>
      </c>
      <c r="C44" s="149" t="s">
        <v>36</v>
      </c>
      <c r="D44" s="149" t="s">
        <v>85</v>
      </c>
      <c r="E44" s="149" t="s">
        <v>50</v>
      </c>
      <c r="F44" s="367" t="s">
        <v>38</v>
      </c>
      <c r="G44" s="194" t="s">
        <v>207</v>
      </c>
      <c r="H44" s="368" t="s">
        <v>208</v>
      </c>
      <c r="I44" s="138"/>
      <c r="K44" s="134" t="s">
        <v>26</v>
      </c>
      <c r="L44" s="149" t="s">
        <v>36</v>
      </c>
      <c r="M44" s="149" t="s">
        <v>85</v>
      </c>
      <c r="N44" s="149" t="s">
        <v>50</v>
      </c>
      <c r="O44" s="367" t="s">
        <v>38</v>
      </c>
      <c r="P44" s="194" t="s">
        <v>207</v>
      </c>
      <c r="Q44" s="368" t="s">
        <v>208</v>
      </c>
      <c r="R44" s="138"/>
    </row>
    <row r="45" spans="2:18" ht="15">
      <c r="B45" s="127">
        <v>1</v>
      </c>
      <c r="C45" s="129">
        <f>IF(B45='Con Calculations'!V$7,'Con Sales'!D$24,0)</f>
        <v>0</v>
      </c>
      <c r="D45" s="31">
        <f>SUM('Con Financing'!$G$15:'Con Financing'!G15)</f>
        <v>0.11982082866741321</v>
      </c>
      <c r="E45" s="129">
        <f>IF(B45&lt;=('Con Calculations'!$V$5+'Con Sales'!$E$12),'Con Op Exp'!$D$12,0)</f>
        <v>600</v>
      </c>
      <c r="F45" s="369">
        <f>1000*'Con Financing'!G15</f>
        <v>119.82082866741321</v>
      </c>
      <c r="G45" s="12">
        <f>IF(C45&gt;0,0,F45)</f>
        <v>119.82082866741321</v>
      </c>
      <c r="H45" s="370">
        <f>G45*EFFECT('Con Financing'!$E$7,12)/12</f>
        <v>0.4587123254332852</v>
      </c>
      <c r="I45" s="130"/>
      <c r="K45" s="127">
        <v>1</v>
      </c>
      <c r="L45" s="129">
        <f>IF(K45='Con Calculations'!V$12,'Con Sales'!D$25,0)</f>
        <v>0</v>
      </c>
      <c r="M45" s="31">
        <f>SUM('Con Financing'!$H$15:'Con Financing'!H15)</f>
        <v>0.11982082866741321</v>
      </c>
      <c r="N45" s="129">
        <f>IF(K45&lt;=('Con Calculations'!$V$5+'Con Sales'!$E$13),'Con Op Exp'!$D$12,0)</f>
        <v>600</v>
      </c>
      <c r="O45" s="369">
        <f>1000*'Con Financing'!H15</f>
        <v>119.82082866741321</v>
      </c>
      <c r="P45" s="12">
        <f>IF(L45&gt;0,0,O45)</f>
        <v>119.82082866741321</v>
      </c>
      <c r="Q45" s="370">
        <f>P45*EFFECT('Con Financing'!$E$7,12)/12</f>
        <v>0.4587123254332852</v>
      </c>
      <c r="R45" s="130"/>
    </row>
    <row r="46" spans="2:18" ht="15">
      <c r="B46" s="127">
        <f>B45+1</f>
        <v>2</v>
      </c>
      <c r="C46" s="129">
        <f>IF(B46='Con Calculations'!V$7,'Con Sales'!D$24,0)</f>
        <v>0</v>
      </c>
      <c r="D46" s="31">
        <f>SUM('Con Financing'!$G$15:'Con Financing'!G16)</f>
        <v>0.26651735722284436</v>
      </c>
      <c r="E46" s="129">
        <f>IF(B46&lt;=('Con Calculations'!$V$5+'Con Sales'!$E$12),'Con Op Exp'!$D$12,0)</f>
        <v>600</v>
      </c>
      <c r="F46" s="369">
        <f>1000*'Con Financing'!G16</f>
        <v>146.69652855543114</v>
      </c>
      <c r="G46" s="12">
        <f aca="true" t="shared" si="4" ref="G46:G80">IF(C46&gt;0,0,F46+G45)</f>
        <v>266.51735722284434</v>
      </c>
      <c r="H46" s="370">
        <f>G46*EFFECT('Con Financing'!$E$7,12)/12</f>
        <v>1.0203133967581486</v>
      </c>
      <c r="I46" s="130"/>
      <c r="K46" s="127">
        <f>K45+1</f>
        <v>2</v>
      </c>
      <c r="L46" s="129">
        <f>IF(K46='Con Calculations'!V$12,'Con Sales'!D$25,0)</f>
        <v>0</v>
      </c>
      <c r="M46" s="31">
        <f>SUM('Con Financing'!$H$15:'Con Financing'!H16)</f>
        <v>0.26651735722284436</v>
      </c>
      <c r="N46" s="129">
        <f>IF(K46&lt;=('Con Calculations'!$V$5+'Con Sales'!$E$13),'Con Op Exp'!$D$12,0)</f>
        <v>600</v>
      </c>
      <c r="O46" s="369">
        <f>1000*'Con Financing'!H16</f>
        <v>146.69652855543114</v>
      </c>
      <c r="P46" s="12">
        <f aca="true" t="shared" si="5" ref="P46:P80">IF(L46&gt;0,0,O46+P45)</f>
        <v>266.51735722284434</v>
      </c>
      <c r="Q46" s="370">
        <f>P46*EFFECT('Con Financing'!$E$7,12)/12</f>
        <v>1.0203133967581486</v>
      </c>
      <c r="R46" s="130"/>
    </row>
    <row r="47" spans="2:18" ht="15">
      <c r="B47" s="127">
        <f aca="true" t="shared" si="6" ref="B47:B80">B46+1</f>
        <v>3</v>
      </c>
      <c r="C47" s="129">
        <f>IF(B47='Con Calculations'!V$7,'Con Sales'!D$24,0)</f>
        <v>0</v>
      </c>
      <c r="D47" s="31">
        <f>SUM('Con Financing'!$G$15:'Con Financing'!G17)</f>
        <v>0.4132138857782755</v>
      </c>
      <c r="E47" s="129">
        <f>IF(B47&lt;=('Con Calculations'!$V$5+'Con Sales'!$E$12),'Con Op Exp'!$D$12,0)</f>
        <v>600</v>
      </c>
      <c r="F47" s="369">
        <f>1000*'Con Financing'!G17</f>
        <v>146.69652855543114</v>
      </c>
      <c r="G47" s="12">
        <f t="shared" si="4"/>
        <v>413.2138857782755</v>
      </c>
      <c r="H47" s="370">
        <f>G47*EFFECT('Con Financing'!$E$7,12)/12</f>
        <v>1.5819144680830117</v>
      </c>
      <c r="I47" s="130"/>
      <c r="K47" s="127">
        <f aca="true" t="shared" si="7" ref="K47:K80">K46+1</f>
        <v>3</v>
      </c>
      <c r="L47" s="129">
        <f>IF(K47='Con Calculations'!V$12,'Con Sales'!D$25,0)</f>
        <v>0</v>
      </c>
      <c r="M47" s="31">
        <f>SUM('Con Financing'!$H$15:'Con Financing'!H17)</f>
        <v>0.4132138857782755</v>
      </c>
      <c r="N47" s="129">
        <f>IF(K47&lt;=('Con Calculations'!$V$5+'Con Sales'!$E$13),'Con Op Exp'!$D$12,0)</f>
        <v>600</v>
      </c>
      <c r="O47" s="369">
        <f>1000*'Con Financing'!H17</f>
        <v>146.69652855543114</v>
      </c>
      <c r="P47" s="12">
        <f t="shared" si="5"/>
        <v>413.2138857782755</v>
      </c>
      <c r="Q47" s="370">
        <f>P47*EFFECT('Con Financing'!$E$7,12)/12</f>
        <v>1.5819144680830117</v>
      </c>
      <c r="R47" s="130"/>
    </row>
    <row r="48" spans="2:18" ht="15">
      <c r="B48" s="127">
        <f t="shared" si="6"/>
        <v>4</v>
      </c>
      <c r="C48" s="129">
        <f>IF(B48='Con Calculations'!V$7,'Con Sales'!D$24,0)</f>
        <v>0</v>
      </c>
      <c r="D48" s="31">
        <f>SUM('Con Financing'!$G$15:'Con Financing'!G18)</f>
        <v>0.5599104143337066</v>
      </c>
      <c r="E48" s="129">
        <f>IF(B48&lt;=('Con Calculations'!$V$5+'Con Sales'!$E$12),'Con Op Exp'!$D$12,0)</f>
        <v>600</v>
      </c>
      <c r="F48" s="369">
        <f>1000*'Con Financing'!G18</f>
        <v>146.69652855543114</v>
      </c>
      <c r="G48" s="12">
        <f t="shared" si="4"/>
        <v>559.9104143337066</v>
      </c>
      <c r="H48" s="370">
        <f>G48*EFFECT('Con Financing'!$E$7,12)/12</f>
        <v>2.143515539407875</v>
      </c>
      <c r="I48" s="130"/>
      <c r="K48" s="127">
        <f t="shared" si="7"/>
        <v>4</v>
      </c>
      <c r="L48" s="129">
        <f>IF(K48='Con Calculations'!V$12,'Con Sales'!D$25,0)</f>
        <v>0</v>
      </c>
      <c r="M48" s="31">
        <f>SUM('Con Financing'!$H$15:'Con Financing'!H18)</f>
        <v>0.5599104143337066</v>
      </c>
      <c r="N48" s="129">
        <f>IF(K48&lt;=('Con Calculations'!$V$5+'Con Sales'!$E$13),'Con Op Exp'!$D$12,0)</f>
        <v>600</v>
      </c>
      <c r="O48" s="369">
        <f>1000*'Con Financing'!H18</f>
        <v>146.69652855543114</v>
      </c>
      <c r="P48" s="12">
        <f t="shared" si="5"/>
        <v>559.9104143337066</v>
      </c>
      <c r="Q48" s="370">
        <f>P48*EFFECT('Con Financing'!$E$7,12)/12</f>
        <v>2.143515539407875</v>
      </c>
      <c r="R48" s="130"/>
    </row>
    <row r="49" spans="2:18" ht="15">
      <c r="B49" s="127">
        <f t="shared" si="6"/>
        <v>5</v>
      </c>
      <c r="C49" s="129">
        <f>IF(B49='Con Calculations'!V$7,'Con Sales'!D$24,0)</f>
        <v>0</v>
      </c>
      <c r="D49" s="31">
        <f>SUM('Con Financing'!$G$15:'Con Financing'!G19)</f>
        <v>0.7066069428891377</v>
      </c>
      <c r="E49" s="129">
        <f>IF(B49&lt;=('Con Calculations'!$V$5+'Con Sales'!$E$12),'Con Op Exp'!$D$12,0)</f>
        <v>600</v>
      </c>
      <c r="F49" s="369">
        <f>1000*'Con Financing'!G19</f>
        <v>146.69652855543114</v>
      </c>
      <c r="G49" s="12">
        <f t="shared" si="4"/>
        <v>706.6069428891378</v>
      </c>
      <c r="H49" s="370">
        <f>G49*EFFECT('Con Financing'!$E$7,12)/12</f>
        <v>2.705116610732739</v>
      </c>
      <c r="I49" s="130"/>
      <c r="K49" s="127">
        <f t="shared" si="7"/>
        <v>5</v>
      </c>
      <c r="L49" s="129">
        <f>IF(K49='Con Calculations'!V$12,'Con Sales'!D$25,0)</f>
        <v>0</v>
      </c>
      <c r="M49" s="31">
        <f>SUM('Con Financing'!$H$15:'Con Financing'!H19)</f>
        <v>0.7066069428891377</v>
      </c>
      <c r="N49" s="129">
        <f>IF(K49&lt;=('Con Calculations'!$V$5+'Con Sales'!$E$13),'Con Op Exp'!$D$12,0)</f>
        <v>600</v>
      </c>
      <c r="O49" s="369">
        <f>1000*'Con Financing'!H19</f>
        <v>146.69652855543114</v>
      </c>
      <c r="P49" s="12">
        <f t="shared" si="5"/>
        <v>706.6069428891378</v>
      </c>
      <c r="Q49" s="370">
        <f>P49*EFFECT('Con Financing'!$E$7,12)/12</f>
        <v>2.705116610732739</v>
      </c>
      <c r="R49" s="130"/>
    </row>
    <row r="50" spans="2:18" ht="15">
      <c r="B50" s="127">
        <f t="shared" si="6"/>
        <v>6</v>
      </c>
      <c r="C50" s="129">
        <f>IF(B50='Con Calculations'!V$7,'Con Sales'!D$24,0)</f>
        <v>0</v>
      </c>
      <c r="D50" s="31">
        <f>SUM('Con Financing'!$G$15:'Con Financing'!G20)</f>
        <v>0.8533034714445689</v>
      </c>
      <c r="E50" s="129">
        <f>IF(B50&lt;=('Con Calculations'!$V$5+'Con Sales'!$E$12),'Con Op Exp'!$D$12,0)</f>
        <v>600</v>
      </c>
      <c r="F50" s="369">
        <f>1000*'Con Financing'!G20</f>
        <v>146.69652855543114</v>
      </c>
      <c r="G50" s="12">
        <f t="shared" si="4"/>
        <v>853.3034714445689</v>
      </c>
      <c r="H50" s="370">
        <f>G50*EFFECT('Con Financing'!$E$7,12)/12</f>
        <v>3.2667176820576014</v>
      </c>
      <c r="I50" s="130"/>
      <c r="K50" s="127">
        <f t="shared" si="7"/>
        <v>6</v>
      </c>
      <c r="L50" s="129">
        <f>IF(K50='Con Calculations'!V$12,'Con Sales'!D$25,0)</f>
        <v>0</v>
      </c>
      <c r="M50" s="31">
        <f>SUM('Con Financing'!$H$15:'Con Financing'!H20)</f>
        <v>0.8533034714445689</v>
      </c>
      <c r="N50" s="129">
        <f>IF(K50&lt;=('Con Calculations'!$V$5+'Con Sales'!$E$13),'Con Op Exp'!$D$12,0)</f>
        <v>600</v>
      </c>
      <c r="O50" s="369">
        <f>1000*'Con Financing'!H20</f>
        <v>146.69652855543114</v>
      </c>
      <c r="P50" s="12">
        <f t="shared" si="5"/>
        <v>853.3034714445689</v>
      </c>
      <c r="Q50" s="370">
        <f>P50*EFFECT('Con Financing'!$E$7,12)/12</f>
        <v>3.2667176820576014</v>
      </c>
      <c r="R50" s="130"/>
    </row>
    <row r="51" spans="2:18" ht="15">
      <c r="B51" s="127">
        <f t="shared" si="6"/>
        <v>7</v>
      </c>
      <c r="C51" s="129">
        <f>IF(B51='Con Calculations'!V$7,'Con Sales'!D$24,0)</f>
        <v>0</v>
      </c>
      <c r="D51" s="31">
        <f>SUM('Con Financing'!$G$15:'Con Financing'!G21)</f>
        <v>1</v>
      </c>
      <c r="E51" s="129">
        <f>IF(B51&lt;=('Con Calculations'!$V$5+'Con Sales'!$E$12),'Con Op Exp'!$D$12,0)</f>
        <v>600</v>
      </c>
      <c r="F51" s="369">
        <f>1000*'Con Financing'!G21</f>
        <v>146.69652855543114</v>
      </c>
      <c r="G51" s="12">
        <f t="shared" si="4"/>
        <v>1000</v>
      </c>
      <c r="H51" s="370">
        <f>G51*EFFECT('Con Financing'!$E$7,12)/12</f>
        <v>3.8283187533824647</v>
      </c>
      <c r="I51" s="130"/>
      <c r="K51" s="127">
        <f t="shared" si="7"/>
        <v>7</v>
      </c>
      <c r="L51" s="129">
        <f>IF(K51='Con Calculations'!V$12,'Con Sales'!D$25,0)</f>
        <v>0</v>
      </c>
      <c r="M51" s="31">
        <f>SUM('Con Financing'!$H$15:'Con Financing'!H21)</f>
        <v>1</v>
      </c>
      <c r="N51" s="129">
        <f>IF(K51&lt;=('Con Calculations'!$V$5+'Con Sales'!$E$13),'Con Op Exp'!$D$12,0)</f>
        <v>600</v>
      </c>
      <c r="O51" s="369">
        <f>1000*'Con Financing'!H21</f>
        <v>146.69652855543114</v>
      </c>
      <c r="P51" s="12">
        <f t="shared" si="5"/>
        <v>1000</v>
      </c>
      <c r="Q51" s="370">
        <f>P51*EFFECT('Con Financing'!$E$7,12)/12</f>
        <v>3.8283187533824647</v>
      </c>
      <c r="R51" s="130"/>
    </row>
    <row r="52" spans="2:18" ht="15">
      <c r="B52" s="127">
        <f t="shared" si="6"/>
        <v>8</v>
      </c>
      <c r="C52" s="129">
        <f>IF(B52='Con Calculations'!V$7,'Con Sales'!D$24,0)</f>
        <v>0</v>
      </c>
      <c r="D52" s="31">
        <f>SUM('Con Financing'!$G$15:'Con Financing'!G22)</f>
        <v>1</v>
      </c>
      <c r="E52" s="129">
        <f>IF(B52&lt;=('Con Calculations'!$V$5+'Con Sales'!$E$12),'Con Op Exp'!$D$12,0)</f>
        <v>600</v>
      </c>
      <c r="F52" s="369">
        <f>1000*'Con Financing'!G22</f>
        <v>0</v>
      </c>
      <c r="G52" s="12">
        <f t="shared" si="4"/>
        <v>1000</v>
      </c>
      <c r="H52" s="370">
        <f>G52*EFFECT('Con Financing'!$E$7,12)/12</f>
        <v>3.8283187533824647</v>
      </c>
      <c r="I52" s="130"/>
      <c r="K52" s="127">
        <f t="shared" si="7"/>
        <v>8</v>
      </c>
      <c r="L52" s="129">
        <f>IF(K52='Con Calculations'!V$12,'Con Sales'!D$25,0)</f>
        <v>0</v>
      </c>
      <c r="M52" s="31">
        <f>SUM('Con Financing'!$H$15:'Con Financing'!H22)</f>
        <v>1</v>
      </c>
      <c r="N52" s="129">
        <f>IF(K52&lt;=('Con Calculations'!$V$5+'Con Sales'!$E$13),'Con Op Exp'!$D$12,0)</f>
        <v>600</v>
      </c>
      <c r="O52" s="369">
        <f>1000*'Con Financing'!H22</f>
        <v>0</v>
      </c>
      <c r="P52" s="12">
        <f t="shared" si="5"/>
        <v>1000</v>
      </c>
      <c r="Q52" s="370">
        <f>P52*EFFECT('Con Financing'!$E$7,12)/12</f>
        <v>3.8283187533824647</v>
      </c>
      <c r="R52" s="130"/>
    </row>
    <row r="53" spans="2:18" ht="15">
      <c r="B53" s="127">
        <f t="shared" si="6"/>
        <v>9</v>
      </c>
      <c r="C53" s="129">
        <f>IF(B53='Con Calculations'!V$7,'Con Sales'!D$24,0)</f>
        <v>374130.4347826087</v>
      </c>
      <c r="D53" s="31">
        <f>SUM('Con Financing'!$G$15:'Con Financing'!G23)</f>
        <v>1</v>
      </c>
      <c r="E53" s="129">
        <f>IF(B53&lt;=('Con Calculations'!$V$5+'Con Sales'!$E$12),'Con Op Exp'!$D$12,0)</f>
        <v>600</v>
      </c>
      <c r="F53" s="369">
        <f>1000*'Con Financing'!G23</f>
        <v>0</v>
      </c>
      <c r="G53" s="12">
        <f t="shared" si="4"/>
        <v>0</v>
      </c>
      <c r="H53" s="370">
        <f>G53*EFFECT('Con Financing'!$E$7,12)/12</f>
        <v>0</v>
      </c>
      <c r="I53" s="130"/>
      <c r="K53" s="127">
        <f t="shared" si="7"/>
        <v>9</v>
      </c>
      <c r="L53" s="129">
        <f>IF(K53='Con Calculations'!V$12,'Con Sales'!D$25,0)</f>
        <v>270000</v>
      </c>
      <c r="M53" s="31">
        <f>SUM('Con Financing'!$H$15:'Con Financing'!H23)</f>
        <v>1</v>
      </c>
      <c r="N53" s="129">
        <f>IF(K53&lt;=('Con Calculations'!$V$5+'Con Sales'!$E$13),'Con Op Exp'!$D$12,0)</f>
        <v>600</v>
      </c>
      <c r="O53" s="369">
        <f>1000*'Con Financing'!H23</f>
        <v>0</v>
      </c>
      <c r="P53" s="12">
        <f t="shared" si="5"/>
        <v>0</v>
      </c>
      <c r="Q53" s="370">
        <f>P53*EFFECT('Con Financing'!$E$7,12)/12</f>
        <v>0</v>
      </c>
      <c r="R53" s="130"/>
    </row>
    <row r="54" spans="2:18" ht="15">
      <c r="B54" s="127">
        <f t="shared" si="6"/>
        <v>10</v>
      </c>
      <c r="C54" s="129">
        <f>IF(B54='Con Calculations'!V$7,'Con Sales'!D$24,0)</f>
        <v>0</v>
      </c>
      <c r="D54" s="31">
        <f>SUM('Con Financing'!$G$15:'Con Financing'!G24)</f>
        <v>1</v>
      </c>
      <c r="E54" s="129">
        <f>IF(B54&lt;=('Con Calculations'!$V$5+'Con Sales'!$E$12),'Con Op Exp'!$D$12,0)</f>
        <v>0</v>
      </c>
      <c r="F54" s="369">
        <f>1000*'Con Financing'!G24</f>
        <v>0</v>
      </c>
      <c r="G54" s="12">
        <f t="shared" si="4"/>
        <v>0</v>
      </c>
      <c r="H54" s="370">
        <f>G54*EFFECT('Con Financing'!$E$7,12)/12</f>
        <v>0</v>
      </c>
      <c r="I54" s="130"/>
      <c r="K54" s="127">
        <f t="shared" si="7"/>
        <v>10</v>
      </c>
      <c r="L54" s="129">
        <f>IF(K54='Con Calculations'!V$12,'Con Sales'!D$25,0)</f>
        <v>0</v>
      </c>
      <c r="M54" s="31">
        <f>SUM('Con Financing'!$H$15:'Con Financing'!H24)</f>
        <v>1</v>
      </c>
      <c r="N54" s="129">
        <f>IF(K54&lt;=('Con Calculations'!$V$5+'Con Sales'!$E$13),'Con Op Exp'!$D$12,0)</f>
        <v>0</v>
      </c>
      <c r="O54" s="369">
        <f>1000*'Con Financing'!H24</f>
        <v>0</v>
      </c>
      <c r="P54" s="12">
        <f t="shared" si="5"/>
        <v>0</v>
      </c>
      <c r="Q54" s="370">
        <f>P54*EFFECT('Con Financing'!$E$7,12)/12</f>
        <v>0</v>
      </c>
      <c r="R54" s="130"/>
    </row>
    <row r="55" spans="2:18" ht="15">
      <c r="B55" s="127">
        <f t="shared" si="6"/>
        <v>11</v>
      </c>
      <c r="C55" s="129">
        <f>IF(B55='Con Calculations'!V$7,'Con Sales'!D$24,0)</f>
        <v>0</v>
      </c>
      <c r="D55" s="31">
        <f>SUM('Con Financing'!$G$15:'Con Financing'!G25)</f>
        <v>1</v>
      </c>
      <c r="E55" s="129">
        <f>IF(B55&lt;=('Con Calculations'!$V$5+'Con Sales'!$E$12),'Con Op Exp'!$D$12,0)</f>
        <v>0</v>
      </c>
      <c r="F55" s="369">
        <f>1000*'Con Financing'!G25</f>
        <v>0</v>
      </c>
      <c r="G55" s="12">
        <f t="shared" si="4"/>
        <v>0</v>
      </c>
      <c r="H55" s="370">
        <f>G55*EFFECT('Con Financing'!$E$7,12)/12</f>
        <v>0</v>
      </c>
      <c r="I55" s="130"/>
      <c r="K55" s="127">
        <f t="shared" si="7"/>
        <v>11</v>
      </c>
      <c r="L55" s="129">
        <f>IF(K55='Con Calculations'!V$12,'Con Sales'!D$25,0)</f>
        <v>0</v>
      </c>
      <c r="M55" s="31">
        <f>SUM('Con Financing'!$H$15:'Con Financing'!H25)</f>
        <v>1</v>
      </c>
      <c r="N55" s="129">
        <f>IF(K55&lt;=('Con Calculations'!$V$5+'Con Sales'!$E$13),'Con Op Exp'!$D$12,0)</f>
        <v>0</v>
      </c>
      <c r="O55" s="369">
        <f>1000*'Con Financing'!H25</f>
        <v>0</v>
      </c>
      <c r="P55" s="12">
        <f t="shared" si="5"/>
        <v>0</v>
      </c>
      <c r="Q55" s="370">
        <f>P55*EFFECT('Con Financing'!$E$7,12)/12</f>
        <v>0</v>
      </c>
      <c r="R55" s="130"/>
    </row>
    <row r="56" spans="2:18" ht="15">
      <c r="B56" s="127">
        <f t="shared" si="6"/>
        <v>12</v>
      </c>
      <c r="C56" s="129">
        <f>IF(B56='Con Calculations'!V$7,'Con Sales'!D$24,0)</f>
        <v>0</v>
      </c>
      <c r="D56" s="31">
        <f>SUM('Con Financing'!$G$15:'Con Financing'!G26)</f>
        <v>1</v>
      </c>
      <c r="E56" s="129">
        <f>IF(B56&lt;=('Con Calculations'!$V$5+'Con Sales'!$E$12),'Con Op Exp'!$D$12,0)</f>
        <v>0</v>
      </c>
      <c r="F56" s="369">
        <f>1000*'Con Financing'!G26</f>
        <v>0</v>
      </c>
      <c r="G56" s="12">
        <f t="shared" si="4"/>
        <v>0</v>
      </c>
      <c r="H56" s="370">
        <f>G56*EFFECT('Con Financing'!$E$7,12)/12</f>
        <v>0</v>
      </c>
      <c r="I56" s="130"/>
      <c r="K56" s="127">
        <f t="shared" si="7"/>
        <v>12</v>
      </c>
      <c r="L56" s="129">
        <f>IF(K56='Con Calculations'!V$12,'Con Sales'!D$25,0)</f>
        <v>0</v>
      </c>
      <c r="M56" s="31">
        <f>SUM('Con Financing'!$H$15:'Con Financing'!H26)</f>
        <v>1</v>
      </c>
      <c r="N56" s="129">
        <f>IF(K56&lt;=('Con Calculations'!$V$5+'Con Sales'!$E$13),'Con Op Exp'!$D$12,0)</f>
        <v>0</v>
      </c>
      <c r="O56" s="369">
        <f>1000*'Con Financing'!H26</f>
        <v>0</v>
      </c>
      <c r="P56" s="12">
        <f t="shared" si="5"/>
        <v>0</v>
      </c>
      <c r="Q56" s="370">
        <f>P56*EFFECT('Con Financing'!$E$7,12)/12</f>
        <v>0</v>
      </c>
      <c r="R56" s="130"/>
    </row>
    <row r="57" spans="2:18" ht="15">
      <c r="B57" s="127">
        <f t="shared" si="6"/>
        <v>13</v>
      </c>
      <c r="C57" s="129">
        <f>IF(B57='Con Calculations'!V$7,'Con Sales'!D$24,0)</f>
        <v>0</v>
      </c>
      <c r="D57" s="31">
        <f>SUM('Con Financing'!$G$15:'Con Financing'!G27)</f>
        <v>1</v>
      </c>
      <c r="E57" s="129">
        <f>IF(B57&lt;=('Con Calculations'!$V$5+'Con Sales'!$E$12),'Con Op Exp'!$D$12,0)</f>
        <v>0</v>
      </c>
      <c r="F57" s="369">
        <f>1000*'Con Financing'!G27</f>
        <v>0</v>
      </c>
      <c r="G57" s="12">
        <f t="shared" si="4"/>
        <v>0</v>
      </c>
      <c r="H57" s="370">
        <f>G57*EFFECT('Con Financing'!$E$7,12)/12</f>
        <v>0</v>
      </c>
      <c r="I57" s="130"/>
      <c r="K57" s="127">
        <f t="shared" si="7"/>
        <v>13</v>
      </c>
      <c r="L57" s="129">
        <f>IF(K57='Con Calculations'!V$12,'Con Sales'!D$25,0)</f>
        <v>0</v>
      </c>
      <c r="M57" s="31">
        <f>SUM('Con Financing'!$H$15:'Con Financing'!H27)</f>
        <v>1</v>
      </c>
      <c r="N57" s="129">
        <f>IF(K57&lt;=('Con Calculations'!$V$5+'Con Sales'!$E$13),'Con Op Exp'!$D$12,0)</f>
        <v>0</v>
      </c>
      <c r="O57" s="369">
        <f>1000*'Con Financing'!H27</f>
        <v>0</v>
      </c>
      <c r="P57" s="12">
        <f t="shared" si="5"/>
        <v>0</v>
      </c>
      <c r="Q57" s="370">
        <f>P57*EFFECT('Con Financing'!$E$7,12)/12</f>
        <v>0</v>
      </c>
      <c r="R57" s="130"/>
    </row>
    <row r="58" spans="2:18" ht="15">
      <c r="B58" s="127">
        <f t="shared" si="6"/>
        <v>14</v>
      </c>
      <c r="C58" s="129">
        <f>IF(B58='Con Calculations'!V$7,'Con Sales'!D$24,0)</f>
        <v>0</v>
      </c>
      <c r="D58" s="31">
        <f>SUM('Con Financing'!$G$15:'Con Financing'!G28)</f>
        <v>1</v>
      </c>
      <c r="E58" s="129">
        <f>IF(B58&lt;=('Con Calculations'!$V$5+'Con Sales'!$E$12),'Con Op Exp'!$D$12,0)</f>
        <v>0</v>
      </c>
      <c r="F58" s="369">
        <f>1000*'Con Financing'!G28</f>
        <v>0</v>
      </c>
      <c r="G58" s="12">
        <f t="shared" si="4"/>
        <v>0</v>
      </c>
      <c r="H58" s="370">
        <f>G58*EFFECT('Con Financing'!$E$7,12)/12</f>
        <v>0</v>
      </c>
      <c r="I58" s="130"/>
      <c r="K58" s="127">
        <f t="shared" si="7"/>
        <v>14</v>
      </c>
      <c r="L58" s="129">
        <f>IF(K58='Con Calculations'!V$12,'Con Sales'!D$25,0)</f>
        <v>0</v>
      </c>
      <c r="M58" s="31">
        <f>SUM('Con Financing'!$H$15:'Con Financing'!H28)</f>
        <v>1</v>
      </c>
      <c r="N58" s="129">
        <f>IF(K58&lt;=('Con Calculations'!$V$5+'Con Sales'!$E$13),'Con Op Exp'!$D$12,0)</f>
        <v>0</v>
      </c>
      <c r="O58" s="369">
        <f>1000*'Con Financing'!H28</f>
        <v>0</v>
      </c>
      <c r="P58" s="12">
        <f t="shared" si="5"/>
        <v>0</v>
      </c>
      <c r="Q58" s="370">
        <f>P58*EFFECT('Con Financing'!$E$7,12)/12</f>
        <v>0</v>
      </c>
      <c r="R58" s="130"/>
    </row>
    <row r="59" spans="2:18" ht="15">
      <c r="B59" s="127">
        <f t="shared" si="6"/>
        <v>15</v>
      </c>
      <c r="C59" s="129">
        <f>IF(B59='Con Calculations'!V$7,'Con Sales'!D$24,0)</f>
        <v>0</v>
      </c>
      <c r="D59" s="31">
        <f>SUM('Con Financing'!$G$15:'Con Financing'!G29)</f>
        <v>1</v>
      </c>
      <c r="E59" s="129">
        <f>IF(B59&lt;=('Con Calculations'!$V$5+'Con Sales'!$E$12),'Con Op Exp'!$D$12,0)</f>
        <v>0</v>
      </c>
      <c r="F59" s="369">
        <f>1000*'Con Financing'!G29</f>
        <v>0</v>
      </c>
      <c r="G59" s="12">
        <f t="shared" si="4"/>
        <v>0</v>
      </c>
      <c r="H59" s="370">
        <f>G59*EFFECT('Con Financing'!$E$7,12)/12</f>
        <v>0</v>
      </c>
      <c r="I59" s="130"/>
      <c r="K59" s="127">
        <f t="shared" si="7"/>
        <v>15</v>
      </c>
      <c r="L59" s="129">
        <f>IF(K59='Con Calculations'!V$12,'Con Sales'!D$25,0)</f>
        <v>0</v>
      </c>
      <c r="M59" s="31">
        <f>SUM('Con Financing'!$H$15:'Con Financing'!H29)</f>
        <v>1</v>
      </c>
      <c r="N59" s="129">
        <f>IF(K59&lt;=('Con Calculations'!$V$5+'Con Sales'!$E$13),'Con Op Exp'!$D$12,0)</f>
        <v>0</v>
      </c>
      <c r="O59" s="369">
        <f>1000*'Con Financing'!H29</f>
        <v>0</v>
      </c>
      <c r="P59" s="12">
        <f t="shared" si="5"/>
        <v>0</v>
      </c>
      <c r="Q59" s="370">
        <f>P59*EFFECT('Con Financing'!$E$7,12)/12</f>
        <v>0</v>
      </c>
      <c r="R59" s="130"/>
    </row>
    <row r="60" spans="2:18" ht="15">
      <c r="B60" s="127">
        <f t="shared" si="6"/>
        <v>16</v>
      </c>
      <c r="C60" s="129">
        <f>IF(B60='Con Calculations'!V$7,'Con Sales'!D$24,0)</f>
        <v>0</v>
      </c>
      <c r="D60" s="31">
        <f>SUM('Con Financing'!$G$15:'Con Financing'!G30)</f>
        <v>1</v>
      </c>
      <c r="E60" s="129">
        <f>IF(B60&lt;=('Con Calculations'!$V$5+'Con Sales'!$E$12),'Con Op Exp'!$D$12,0)</f>
        <v>0</v>
      </c>
      <c r="F60" s="369">
        <f>1000*'Con Financing'!G30</f>
        <v>0</v>
      </c>
      <c r="G60" s="12">
        <f t="shared" si="4"/>
        <v>0</v>
      </c>
      <c r="H60" s="370">
        <f>G60*EFFECT('Con Financing'!$E$7,12)/12</f>
        <v>0</v>
      </c>
      <c r="I60" s="130"/>
      <c r="K60" s="127">
        <f t="shared" si="7"/>
        <v>16</v>
      </c>
      <c r="L60" s="129">
        <f>IF(K60='Con Calculations'!V$12,'Con Sales'!D$25,0)</f>
        <v>0</v>
      </c>
      <c r="M60" s="31">
        <f>SUM('Con Financing'!$H$15:'Con Financing'!H30)</f>
        <v>1</v>
      </c>
      <c r="N60" s="129">
        <f>IF(K60&lt;=('Con Calculations'!$V$5+'Con Sales'!$E$13),'Con Op Exp'!$D$12,0)</f>
        <v>0</v>
      </c>
      <c r="O60" s="369">
        <f>1000*'Con Financing'!H30</f>
        <v>0</v>
      </c>
      <c r="P60" s="12">
        <f t="shared" si="5"/>
        <v>0</v>
      </c>
      <c r="Q60" s="370">
        <f>P60*EFFECT('Con Financing'!$E$7,12)/12</f>
        <v>0</v>
      </c>
      <c r="R60" s="130"/>
    </row>
    <row r="61" spans="2:18" ht="15">
      <c r="B61" s="127">
        <f t="shared" si="6"/>
        <v>17</v>
      </c>
      <c r="C61" s="129">
        <f>IF(B61='Con Calculations'!V$7,'Con Sales'!D$24,0)</f>
        <v>0</v>
      </c>
      <c r="D61" s="31">
        <f>SUM('Con Financing'!$G$15:'Con Financing'!G31)</f>
        <v>1</v>
      </c>
      <c r="E61" s="129">
        <f>IF(B61&lt;=('Con Calculations'!$V$5+'Con Sales'!$E$12),'Con Op Exp'!$D$12,0)</f>
        <v>0</v>
      </c>
      <c r="F61" s="369">
        <f>1000*'Con Financing'!G31</f>
        <v>0</v>
      </c>
      <c r="G61" s="12">
        <f t="shared" si="4"/>
        <v>0</v>
      </c>
      <c r="H61" s="370">
        <f>G61*EFFECT('Con Financing'!$E$7,12)/12</f>
        <v>0</v>
      </c>
      <c r="I61" s="130"/>
      <c r="K61" s="127">
        <f t="shared" si="7"/>
        <v>17</v>
      </c>
      <c r="L61" s="129">
        <f>IF(K61='Con Calculations'!V$12,'Con Sales'!D$25,0)</f>
        <v>0</v>
      </c>
      <c r="M61" s="31">
        <f>SUM('Con Financing'!$H$15:'Con Financing'!H31)</f>
        <v>1</v>
      </c>
      <c r="N61" s="129">
        <f>IF(K61&lt;=('Con Calculations'!$V$5+'Con Sales'!$E$13),'Con Op Exp'!$D$12,0)</f>
        <v>0</v>
      </c>
      <c r="O61" s="369">
        <f>1000*'Con Financing'!H31</f>
        <v>0</v>
      </c>
      <c r="P61" s="12">
        <f t="shared" si="5"/>
        <v>0</v>
      </c>
      <c r="Q61" s="370">
        <f>P61*EFFECT('Con Financing'!$E$7,12)/12</f>
        <v>0</v>
      </c>
      <c r="R61" s="130"/>
    </row>
    <row r="62" spans="2:18" ht="15">
      <c r="B62" s="127">
        <f t="shared" si="6"/>
        <v>18</v>
      </c>
      <c r="C62" s="129">
        <f>IF(B62='Con Calculations'!V$7,'Con Sales'!D$24,0)</f>
        <v>0</v>
      </c>
      <c r="D62" s="31">
        <f>SUM('Con Financing'!$G$15:'Con Financing'!G32)</f>
        <v>1</v>
      </c>
      <c r="E62" s="129">
        <f>IF(B62&lt;=('Con Calculations'!$V$5+'Con Sales'!$E$12),'Con Op Exp'!$D$12,0)</f>
        <v>0</v>
      </c>
      <c r="F62" s="369">
        <f>1000*'Con Financing'!G32</f>
        <v>0</v>
      </c>
      <c r="G62" s="12">
        <f t="shared" si="4"/>
        <v>0</v>
      </c>
      <c r="H62" s="370">
        <f>G62*EFFECT('Con Financing'!$E$7,12)/12</f>
        <v>0</v>
      </c>
      <c r="I62" s="130"/>
      <c r="K62" s="127">
        <f t="shared" si="7"/>
        <v>18</v>
      </c>
      <c r="L62" s="129">
        <f>IF(K62='Con Calculations'!V$12,'Con Sales'!D$25,0)</f>
        <v>0</v>
      </c>
      <c r="M62" s="31">
        <f>SUM('Con Financing'!$H$15:'Con Financing'!H32)</f>
        <v>1</v>
      </c>
      <c r="N62" s="129">
        <f>IF(K62&lt;=('Con Calculations'!$V$5+'Con Sales'!$E$13),'Con Op Exp'!$D$12,0)</f>
        <v>0</v>
      </c>
      <c r="O62" s="369">
        <f>1000*'Con Financing'!H32</f>
        <v>0</v>
      </c>
      <c r="P62" s="12">
        <f t="shared" si="5"/>
        <v>0</v>
      </c>
      <c r="Q62" s="370">
        <f>P62*EFFECT('Con Financing'!$E$7,12)/12</f>
        <v>0</v>
      </c>
      <c r="R62" s="130"/>
    </row>
    <row r="63" spans="2:18" ht="15">
      <c r="B63" s="127">
        <f t="shared" si="6"/>
        <v>19</v>
      </c>
      <c r="C63" s="129">
        <f>IF(B63='Con Calculations'!V$7,'Con Sales'!D$24,0)</f>
        <v>0</v>
      </c>
      <c r="D63" s="31">
        <f>SUM('Con Financing'!$G$15:'Con Financing'!G33)</f>
        <v>1</v>
      </c>
      <c r="E63" s="129">
        <f>IF(B63&lt;=('Con Calculations'!$V$5+'Con Sales'!$E$12),'Con Op Exp'!$D$12,0)</f>
        <v>0</v>
      </c>
      <c r="F63" s="369">
        <f>1000*'Con Financing'!G33</f>
        <v>0</v>
      </c>
      <c r="G63" s="12">
        <f t="shared" si="4"/>
        <v>0</v>
      </c>
      <c r="H63" s="370">
        <f>G63*EFFECT('Con Financing'!$E$7,12)/12</f>
        <v>0</v>
      </c>
      <c r="I63" s="130"/>
      <c r="K63" s="127">
        <f t="shared" si="7"/>
        <v>19</v>
      </c>
      <c r="L63" s="129">
        <f>IF(K63='Con Calculations'!V$12,'Con Sales'!D$25,0)</f>
        <v>0</v>
      </c>
      <c r="M63" s="31">
        <f>SUM('Con Financing'!$H$15:'Con Financing'!H33)</f>
        <v>1</v>
      </c>
      <c r="N63" s="129">
        <f>IF(K63&lt;=('Con Calculations'!$V$5+'Con Sales'!$E$13),'Con Op Exp'!$D$12,0)</f>
        <v>0</v>
      </c>
      <c r="O63" s="369">
        <f>1000*'Con Financing'!H33</f>
        <v>0</v>
      </c>
      <c r="P63" s="12">
        <f t="shared" si="5"/>
        <v>0</v>
      </c>
      <c r="Q63" s="370">
        <f>P63*EFFECT('Con Financing'!$E$7,12)/12</f>
        <v>0</v>
      </c>
      <c r="R63" s="130"/>
    </row>
    <row r="64" spans="2:18" ht="15">
      <c r="B64" s="127">
        <f t="shared" si="6"/>
        <v>20</v>
      </c>
      <c r="C64" s="129">
        <f>IF(B64='Con Calculations'!V$7,'Con Sales'!D$24,0)</f>
        <v>0</v>
      </c>
      <c r="D64" s="31">
        <f>SUM('Con Financing'!$G$15:'Con Financing'!G34)</f>
        <v>1</v>
      </c>
      <c r="E64" s="129">
        <f>IF(B64&lt;=('Con Calculations'!$V$5+'Con Sales'!$E$12),'Con Op Exp'!$D$12,0)</f>
        <v>0</v>
      </c>
      <c r="F64" s="369">
        <f>1000*'Con Financing'!G34</f>
        <v>0</v>
      </c>
      <c r="G64" s="12">
        <f t="shared" si="4"/>
        <v>0</v>
      </c>
      <c r="H64" s="370">
        <f>G64*EFFECT('Con Financing'!$E$7,12)/12</f>
        <v>0</v>
      </c>
      <c r="I64" s="130"/>
      <c r="K64" s="127">
        <f t="shared" si="7"/>
        <v>20</v>
      </c>
      <c r="L64" s="129">
        <f>IF(K64='Con Calculations'!V$12,'Con Sales'!D$25,0)</f>
        <v>0</v>
      </c>
      <c r="M64" s="31">
        <f>SUM('Con Financing'!$H$15:'Con Financing'!H34)</f>
        <v>1</v>
      </c>
      <c r="N64" s="129">
        <f>IF(K64&lt;=('Con Calculations'!$V$5+'Con Sales'!$E$13),'Con Op Exp'!$D$12,0)</f>
        <v>0</v>
      </c>
      <c r="O64" s="369">
        <f>1000*'Con Financing'!H34</f>
        <v>0</v>
      </c>
      <c r="P64" s="12">
        <f t="shared" si="5"/>
        <v>0</v>
      </c>
      <c r="Q64" s="370">
        <f>P64*EFFECT('Con Financing'!$E$7,12)/12</f>
        <v>0</v>
      </c>
      <c r="R64" s="130"/>
    </row>
    <row r="65" spans="2:18" ht="15">
      <c r="B65" s="127">
        <f t="shared" si="6"/>
        <v>21</v>
      </c>
      <c r="C65" s="129">
        <f>IF(B65='Con Calculations'!V$7,'Con Sales'!D$24,0)</f>
        <v>0</v>
      </c>
      <c r="D65" s="31">
        <f>SUM('Con Financing'!$G$15:'Con Financing'!G35)</f>
        <v>1</v>
      </c>
      <c r="E65" s="129">
        <f>IF(B65&lt;=('Con Calculations'!$V$5+'Con Sales'!$E$12),'Con Op Exp'!$D$12,0)</f>
        <v>0</v>
      </c>
      <c r="F65" s="369">
        <f>1000*'Con Financing'!G35</f>
        <v>0</v>
      </c>
      <c r="G65" s="12">
        <f t="shared" si="4"/>
        <v>0</v>
      </c>
      <c r="H65" s="370">
        <f>G65*EFFECT('Con Financing'!$E$7,12)/12</f>
        <v>0</v>
      </c>
      <c r="I65" s="130"/>
      <c r="K65" s="127">
        <f t="shared" si="7"/>
        <v>21</v>
      </c>
      <c r="L65" s="129">
        <f>IF(K65='Con Calculations'!V$12,'Con Sales'!D$25,0)</f>
        <v>0</v>
      </c>
      <c r="M65" s="31">
        <f>SUM('Con Financing'!$H$15:'Con Financing'!H35)</f>
        <v>1</v>
      </c>
      <c r="N65" s="129">
        <f>IF(K65&lt;=('Con Calculations'!$V$5+'Con Sales'!$E$13),'Con Op Exp'!$D$12,0)</f>
        <v>0</v>
      </c>
      <c r="O65" s="369">
        <f>1000*'Con Financing'!H35</f>
        <v>0</v>
      </c>
      <c r="P65" s="12">
        <f t="shared" si="5"/>
        <v>0</v>
      </c>
      <c r="Q65" s="370">
        <f>P65*EFFECT('Con Financing'!$E$7,12)/12</f>
        <v>0</v>
      </c>
      <c r="R65" s="130"/>
    </row>
    <row r="66" spans="2:18" ht="15">
      <c r="B66" s="127">
        <f t="shared" si="6"/>
        <v>22</v>
      </c>
      <c r="C66" s="129">
        <f>IF(B66='Con Calculations'!V$7,'Con Sales'!D$24,0)</f>
        <v>0</v>
      </c>
      <c r="D66" s="31">
        <f>SUM('Con Financing'!$G$15:'Con Financing'!G36)</f>
        <v>1</v>
      </c>
      <c r="E66" s="129">
        <f>IF(B66&lt;=('Con Calculations'!$V$5+'Con Sales'!$E$12),'Con Op Exp'!$D$12,0)</f>
        <v>0</v>
      </c>
      <c r="F66" s="369">
        <f>1000*'Con Financing'!G36</f>
        <v>0</v>
      </c>
      <c r="G66" s="12">
        <f t="shared" si="4"/>
        <v>0</v>
      </c>
      <c r="H66" s="370">
        <f>G66*EFFECT('Con Financing'!$E$7,12)/12</f>
        <v>0</v>
      </c>
      <c r="I66" s="130"/>
      <c r="K66" s="127">
        <f t="shared" si="7"/>
        <v>22</v>
      </c>
      <c r="L66" s="129">
        <f>IF(K66='Con Calculations'!V$12,'Con Sales'!D$25,0)</f>
        <v>0</v>
      </c>
      <c r="M66" s="31">
        <f>SUM('Con Financing'!$H$15:'Con Financing'!H36)</f>
        <v>1</v>
      </c>
      <c r="N66" s="129">
        <f>IF(K66&lt;=('Con Calculations'!$V$5+'Con Sales'!$E$13),'Con Op Exp'!$D$12,0)</f>
        <v>0</v>
      </c>
      <c r="O66" s="369">
        <f>1000*'Con Financing'!H36</f>
        <v>0</v>
      </c>
      <c r="P66" s="12">
        <f t="shared" si="5"/>
        <v>0</v>
      </c>
      <c r="Q66" s="370">
        <f>P66*EFFECT('Con Financing'!$E$7,12)/12</f>
        <v>0</v>
      </c>
      <c r="R66" s="130"/>
    </row>
    <row r="67" spans="2:18" ht="15">
      <c r="B67" s="127">
        <f t="shared" si="6"/>
        <v>23</v>
      </c>
      <c r="C67" s="129">
        <f>IF(B67='Con Calculations'!V$7,'Con Sales'!D$24,0)</f>
        <v>0</v>
      </c>
      <c r="D67" s="31">
        <f>SUM('Con Financing'!$G$15:'Con Financing'!G37)</f>
        <v>1</v>
      </c>
      <c r="E67" s="129">
        <f>IF(B67&lt;=('Con Calculations'!$V$5+'Con Sales'!$E$12),'Con Op Exp'!$D$12,0)</f>
        <v>0</v>
      </c>
      <c r="F67" s="369">
        <f>1000*'Con Financing'!G37</f>
        <v>0</v>
      </c>
      <c r="G67" s="12">
        <f t="shared" si="4"/>
        <v>0</v>
      </c>
      <c r="H67" s="370">
        <f>G67*EFFECT('Con Financing'!$E$7,12)/12</f>
        <v>0</v>
      </c>
      <c r="I67" s="130"/>
      <c r="K67" s="127">
        <f t="shared" si="7"/>
        <v>23</v>
      </c>
      <c r="L67" s="129">
        <f>IF(K67='Con Calculations'!V$12,'Con Sales'!D$25,0)</f>
        <v>0</v>
      </c>
      <c r="M67" s="31">
        <f>SUM('Con Financing'!$H$15:'Con Financing'!H37)</f>
        <v>1</v>
      </c>
      <c r="N67" s="129">
        <f>IF(K67&lt;=('Con Calculations'!$V$5+'Con Sales'!$E$13),'Con Op Exp'!$D$12,0)</f>
        <v>0</v>
      </c>
      <c r="O67" s="369">
        <f>1000*'Con Financing'!H37</f>
        <v>0</v>
      </c>
      <c r="P67" s="12">
        <f t="shared" si="5"/>
        <v>0</v>
      </c>
      <c r="Q67" s="370">
        <f>P67*EFFECT('Con Financing'!$E$7,12)/12</f>
        <v>0</v>
      </c>
      <c r="R67" s="130"/>
    </row>
    <row r="68" spans="2:18" ht="15">
      <c r="B68" s="127">
        <f t="shared" si="6"/>
        <v>24</v>
      </c>
      <c r="C68" s="129">
        <f>IF(B68='Con Calculations'!V$7,'Con Sales'!D$24,0)</f>
        <v>0</v>
      </c>
      <c r="D68" s="31">
        <f>SUM('Con Financing'!$G$15:'Con Financing'!G38)</f>
        <v>1</v>
      </c>
      <c r="E68" s="129">
        <f>IF(B68&lt;=('Con Calculations'!$V$5+'Con Sales'!$E$12),'Con Op Exp'!$D$12,0)</f>
        <v>0</v>
      </c>
      <c r="F68" s="369">
        <f>1000*'Con Financing'!G38</f>
        <v>0</v>
      </c>
      <c r="G68" s="12">
        <f t="shared" si="4"/>
        <v>0</v>
      </c>
      <c r="H68" s="370">
        <f>G68*EFFECT('Con Financing'!$E$7,12)/12</f>
        <v>0</v>
      </c>
      <c r="I68" s="130"/>
      <c r="K68" s="127">
        <f t="shared" si="7"/>
        <v>24</v>
      </c>
      <c r="L68" s="129">
        <f>IF(K68='Con Calculations'!V$12,'Con Sales'!D$25,0)</f>
        <v>0</v>
      </c>
      <c r="M68" s="31">
        <f>SUM('Con Financing'!$H$15:'Con Financing'!H38)</f>
        <v>1</v>
      </c>
      <c r="N68" s="129">
        <f>IF(K68&lt;=('Con Calculations'!$V$5+'Con Sales'!$E$13),'Con Op Exp'!$D$12,0)</f>
        <v>0</v>
      </c>
      <c r="O68" s="369">
        <f>1000*'Con Financing'!H38</f>
        <v>0</v>
      </c>
      <c r="P68" s="12">
        <f t="shared" si="5"/>
        <v>0</v>
      </c>
      <c r="Q68" s="370">
        <f>P68*EFFECT('Con Financing'!$E$7,12)/12</f>
        <v>0</v>
      </c>
      <c r="R68" s="130"/>
    </row>
    <row r="69" spans="2:18" ht="15">
      <c r="B69" s="127">
        <f t="shared" si="6"/>
        <v>25</v>
      </c>
      <c r="C69" s="129">
        <f>IF(B69='Con Calculations'!V$7,'Con Sales'!D$24,0)</f>
        <v>0</v>
      </c>
      <c r="D69" s="31">
        <f>SUM('Con Financing'!$G$15:'Con Financing'!G39)</f>
        <v>1</v>
      </c>
      <c r="E69" s="129">
        <f>IF(B69&lt;=('Con Calculations'!$V$5+'Con Sales'!$E$12),'Con Op Exp'!$D$12,0)</f>
        <v>0</v>
      </c>
      <c r="F69" s="369">
        <f>1000*'Con Financing'!G39</f>
        <v>0</v>
      </c>
      <c r="G69" s="12">
        <f t="shared" si="4"/>
        <v>0</v>
      </c>
      <c r="H69" s="370">
        <f>G69*EFFECT('Con Financing'!$E$7,12)/12</f>
        <v>0</v>
      </c>
      <c r="I69" s="130"/>
      <c r="K69" s="127">
        <f t="shared" si="7"/>
        <v>25</v>
      </c>
      <c r="L69" s="129">
        <f>IF(K69='Con Calculations'!V$12,'Con Sales'!D$25,0)</f>
        <v>0</v>
      </c>
      <c r="M69" s="31">
        <f>SUM('Con Financing'!$H$15:'Con Financing'!H39)</f>
        <v>1</v>
      </c>
      <c r="N69" s="129">
        <f>IF(K69&lt;=('Con Calculations'!$V$5+'Con Sales'!$E$13),'Con Op Exp'!$D$12,0)</f>
        <v>0</v>
      </c>
      <c r="O69" s="369">
        <f>1000*'Con Financing'!H39</f>
        <v>0</v>
      </c>
      <c r="P69" s="12">
        <f t="shared" si="5"/>
        <v>0</v>
      </c>
      <c r="Q69" s="370">
        <f>P69*EFFECT('Con Financing'!$E$7,12)/12</f>
        <v>0</v>
      </c>
      <c r="R69" s="130"/>
    </row>
    <row r="70" spans="2:18" ht="15">
      <c r="B70" s="127">
        <f t="shared" si="6"/>
        <v>26</v>
      </c>
      <c r="C70" s="129">
        <f>IF(B70='Con Calculations'!V$7,'Con Sales'!D$24,0)</f>
        <v>0</v>
      </c>
      <c r="D70" s="31">
        <f>SUM('Con Financing'!$G$15:'Con Financing'!G40)</f>
        <v>1</v>
      </c>
      <c r="E70" s="129">
        <f>IF(B70&lt;=('Con Calculations'!$V$5+'Con Sales'!$E$12),'Con Op Exp'!$D$12,0)</f>
        <v>0</v>
      </c>
      <c r="F70" s="369">
        <f>1000*'Con Financing'!G40</f>
        <v>0</v>
      </c>
      <c r="G70" s="12">
        <f t="shared" si="4"/>
        <v>0</v>
      </c>
      <c r="H70" s="370">
        <f>G70*EFFECT('Con Financing'!$E$7,12)/12</f>
        <v>0</v>
      </c>
      <c r="I70" s="130"/>
      <c r="K70" s="127">
        <f t="shared" si="7"/>
        <v>26</v>
      </c>
      <c r="L70" s="129">
        <f>IF(K70='Con Calculations'!V$12,'Con Sales'!D$25,0)</f>
        <v>0</v>
      </c>
      <c r="M70" s="31">
        <f>SUM('Con Financing'!$H$15:'Con Financing'!H40)</f>
        <v>1</v>
      </c>
      <c r="N70" s="129">
        <f>IF(K70&lt;=('Con Calculations'!$V$5+'Con Sales'!$E$13),'Con Op Exp'!$D$12,0)</f>
        <v>0</v>
      </c>
      <c r="O70" s="369">
        <f>1000*'Con Financing'!H40</f>
        <v>0</v>
      </c>
      <c r="P70" s="12">
        <f t="shared" si="5"/>
        <v>0</v>
      </c>
      <c r="Q70" s="370">
        <f>P70*EFFECT('Con Financing'!$E$7,12)/12</f>
        <v>0</v>
      </c>
      <c r="R70" s="130"/>
    </row>
    <row r="71" spans="2:18" ht="15">
      <c r="B71" s="127">
        <f t="shared" si="6"/>
        <v>27</v>
      </c>
      <c r="C71" s="129">
        <f>IF(B71='Con Calculations'!V$7,'Con Sales'!D$24,0)</f>
        <v>0</v>
      </c>
      <c r="D71" s="31">
        <f>SUM('Con Financing'!$G$15:'Con Financing'!G41)</f>
        <v>1</v>
      </c>
      <c r="E71" s="129">
        <f>IF(B71&lt;=('Con Calculations'!$V$5+'Con Sales'!$E$12),'Con Op Exp'!$D$12,0)</f>
        <v>0</v>
      </c>
      <c r="F71" s="369">
        <f>1000*'Con Financing'!G41</f>
        <v>0</v>
      </c>
      <c r="G71" s="12">
        <f t="shared" si="4"/>
        <v>0</v>
      </c>
      <c r="H71" s="370">
        <f>G71*EFFECT('Con Financing'!$E$7,12)/12</f>
        <v>0</v>
      </c>
      <c r="I71" s="130"/>
      <c r="K71" s="127">
        <f t="shared" si="7"/>
        <v>27</v>
      </c>
      <c r="L71" s="129">
        <f>IF(K71='Con Calculations'!V$12,'Con Sales'!D$25,0)</f>
        <v>0</v>
      </c>
      <c r="M71" s="31">
        <f>SUM('Con Financing'!$H$15:'Con Financing'!H41)</f>
        <v>1</v>
      </c>
      <c r="N71" s="129">
        <f>IF(K71&lt;=('Con Calculations'!$V$5+'Con Sales'!$E$13),'Con Op Exp'!$D$12,0)</f>
        <v>0</v>
      </c>
      <c r="O71" s="369">
        <f>1000*'Con Financing'!H41</f>
        <v>0</v>
      </c>
      <c r="P71" s="12">
        <f t="shared" si="5"/>
        <v>0</v>
      </c>
      <c r="Q71" s="370">
        <f>P71*EFFECT('Con Financing'!$E$7,12)/12</f>
        <v>0</v>
      </c>
      <c r="R71" s="130"/>
    </row>
    <row r="72" spans="2:18" ht="15">
      <c r="B72" s="127">
        <f t="shared" si="6"/>
        <v>28</v>
      </c>
      <c r="C72" s="129">
        <f>IF(B72='Con Calculations'!V$7,'Con Sales'!D$24,0)</f>
        <v>0</v>
      </c>
      <c r="D72" s="31">
        <f>SUM('Con Financing'!$G$15:'Con Financing'!G42)</f>
        <v>1</v>
      </c>
      <c r="E72" s="129">
        <f>IF(B72&lt;=('Con Calculations'!$V$5+'Con Sales'!$E$12),'Con Op Exp'!$D$12,0)</f>
        <v>0</v>
      </c>
      <c r="F72" s="369">
        <f>1000*'Con Financing'!G42</f>
        <v>0</v>
      </c>
      <c r="G72" s="12">
        <f t="shared" si="4"/>
        <v>0</v>
      </c>
      <c r="H72" s="370">
        <f>G72*EFFECT('Con Financing'!$E$7,12)/12</f>
        <v>0</v>
      </c>
      <c r="I72" s="130"/>
      <c r="K72" s="127">
        <f t="shared" si="7"/>
        <v>28</v>
      </c>
      <c r="L72" s="129">
        <f>IF(K72='Con Calculations'!V$12,'Con Sales'!D$25,0)</f>
        <v>0</v>
      </c>
      <c r="M72" s="31">
        <f>SUM('Con Financing'!$H$15:'Con Financing'!H42)</f>
        <v>1</v>
      </c>
      <c r="N72" s="129">
        <f>IF(K72&lt;=('Con Calculations'!$V$5+'Con Sales'!$E$13),'Con Op Exp'!$D$12,0)</f>
        <v>0</v>
      </c>
      <c r="O72" s="369">
        <f>1000*'Con Financing'!H42</f>
        <v>0</v>
      </c>
      <c r="P72" s="12">
        <f t="shared" si="5"/>
        <v>0</v>
      </c>
      <c r="Q72" s="370">
        <f>P72*EFFECT('Con Financing'!$E$7,12)/12</f>
        <v>0</v>
      </c>
      <c r="R72" s="130"/>
    </row>
    <row r="73" spans="2:18" ht="15">
      <c r="B73" s="127">
        <f t="shared" si="6"/>
        <v>29</v>
      </c>
      <c r="C73" s="129">
        <f>IF(B73='Con Calculations'!V$7,'Con Sales'!D$24,0)</f>
        <v>0</v>
      </c>
      <c r="D73" s="31">
        <f>SUM('Con Financing'!$G$15:'Con Financing'!G43)</f>
        <v>1</v>
      </c>
      <c r="E73" s="129">
        <f>IF(B73&lt;=('Con Calculations'!$V$5+'Con Sales'!$E$12),'Con Op Exp'!$D$12,0)</f>
        <v>0</v>
      </c>
      <c r="F73" s="369">
        <f>1000*'Con Financing'!G43</f>
        <v>0</v>
      </c>
      <c r="G73" s="12">
        <f t="shared" si="4"/>
        <v>0</v>
      </c>
      <c r="H73" s="370">
        <f>G73*EFFECT('Con Financing'!$E$7,12)/12</f>
        <v>0</v>
      </c>
      <c r="I73" s="130"/>
      <c r="K73" s="127">
        <f t="shared" si="7"/>
        <v>29</v>
      </c>
      <c r="L73" s="129">
        <f>IF(K73='Con Calculations'!V$12,'Con Sales'!D$25,0)</f>
        <v>0</v>
      </c>
      <c r="M73" s="31">
        <f>SUM('Con Financing'!$H$15:'Con Financing'!H43)</f>
        <v>1</v>
      </c>
      <c r="N73" s="129">
        <f>IF(K73&lt;=('Con Calculations'!$V$5+'Con Sales'!$E$13),'Con Op Exp'!$D$12,0)</f>
        <v>0</v>
      </c>
      <c r="O73" s="369">
        <f>1000*'Con Financing'!H43</f>
        <v>0</v>
      </c>
      <c r="P73" s="12">
        <f t="shared" si="5"/>
        <v>0</v>
      </c>
      <c r="Q73" s="370">
        <f>P73*EFFECT('Con Financing'!$E$7,12)/12</f>
        <v>0</v>
      </c>
      <c r="R73" s="130"/>
    </row>
    <row r="74" spans="2:18" ht="15">
      <c r="B74" s="127">
        <f t="shared" si="6"/>
        <v>30</v>
      </c>
      <c r="C74" s="129">
        <f>IF(B74='Con Calculations'!V$7,'Con Sales'!D$24,0)</f>
        <v>0</v>
      </c>
      <c r="D74" s="31">
        <f>SUM('Con Financing'!$G$15:'Con Financing'!G44)</f>
        <v>1</v>
      </c>
      <c r="E74" s="129">
        <f>IF(B74&lt;=('Con Calculations'!$V$5+'Con Sales'!$E$12),'Con Op Exp'!$D$12,0)</f>
        <v>0</v>
      </c>
      <c r="F74" s="369">
        <f>1000*'Con Financing'!G44</f>
        <v>0</v>
      </c>
      <c r="G74" s="12">
        <f t="shared" si="4"/>
        <v>0</v>
      </c>
      <c r="H74" s="370">
        <f>G74*EFFECT('Con Financing'!$E$7,12)/12</f>
        <v>0</v>
      </c>
      <c r="I74" s="130"/>
      <c r="K74" s="127">
        <f t="shared" si="7"/>
        <v>30</v>
      </c>
      <c r="L74" s="129">
        <f>IF(K74='Con Calculations'!V$12,'Con Sales'!D$25,0)</f>
        <v>0</v>
      </c>
      <c r="M74" s="31">
        <f>SUM('Con Financing'!$H$15:'Con Financing'!H44)</f>
        <v>1</v>
      </c>
      <c r="N74" s="129">
        <f>IF(K74&lt;=('Con Calculations'!$V$5+'Con Sales'!$E$13),'Con Op Exp'!$D$12,0)</f>
        <v>0</v>
      </c>
      <c r="O74" s="369">
        <f>1000*'Con Financing'!H44</f>
        <v>0</v>
      </c>
      <c r="P74" s="12">
        <f t="shared" si="5"/>
        <v>0</v>
      </c>
      <c r="Q74" s="370">
        <f>P74*EFFECT('Con Financing'!$E$7,12)/12</f>
        <v>0</v>
      </c>
      <c r="R74" s="130"/>
    </row>
    <row r="75" spans="2:18" ht="15">
      <c r="B75" s="127">
        <f t="shared" si="6"/>
        <v>31</v>
      </c>
      <c r="C75" s="129">
        <f>IF(B75='Con Calculations'!V$7,'Con Sales'!D$24,0)</f>
        <v>0</v>
      </c>
      <c r="D75" s="31">
        <f>SUM('Con Financing'!$G$15:'Con Financing'!G45)</f>
        <v>1</v>
      </c>
      <c r="E75" s="129">
        <f>IF(B75&lt;=('Con Calculations'!$V$5+'Con Sales'!$E$12),'Con Op Exp'!$D$12,0)</f>
        <v>0</v>
      </c>
      <c r="F75" s="369">
        <f>1000*'Con Financing'!G45</f>
        <v>0</v>
      </c>
      <c r="G75" s="12">
        <f t="shared" si="4"/>
        <v>0</v>
      </c>
      <c r="H75" s="370">
        <f>G75*EFFECT('Con Financing'!$E$7,12)/12</f>
        <v>0</v>
      </c>
      <c r="I75" s="130"/>
      <c r="K75" s="127">
        <f t="shared" si="7"/>
        <v>31</v>
      </c>
      <c r="L75" s="129">
        <f>IF(K75='Con Calculations'!V$12,'Con Sales'!D$25,0)</f>
        <v>0</v>
      </c>
      <c r="M75" s="31">
        <f>SUM('Con Financing'!$H$15:'Con Financing'!H45)</f>
        <v>1</v>
      </c>
      <c r="N75" s="129">
        <f>IF(K75&lt;=('Con Calculations'!$V$5+'Con Sales'!$E$13),'Con Op Exp'!$D$12,0)</f>
        <v>0</v>
      </c>
      <c r="O75" s="369">
        <f>1000*'Con Financing'!H45</f>
        <v>0</v>
      </c>
      <c r="P75" s="12">
        <f t="shared" si="5"/>
        <v>0</v>
      </c>
      <c r="Q75" s="370">
        <f>P75*EFFECT('Con Financing'!$E$7,12)/12</f>
        <v>0</v>
      </c>
      <c r="R75" s="130"/>
    </row>
    <row r="76" spans="2:18" ht="15">
      <c r="B76" s="127">
        <f t="shared" si="6"/>
        <v>32</v>
      </c>
      <c r="C76" s="129">
        <f>IF(B76='Con Calculations'!V$7,'Con Sales'!D$24,0)</f>
        <v>0</v>
      </c>
      <c r="D76" s="31">
        <f>SUM('Con Financing'!$G$15:'Con Financing'!G46)</f>
        <v>1</v>
      </c>
      <c r="E76" s="129">
        <f>IF(B76&lt;=('Con Calculations'!$V$5+'Con Sales'!$E$12),'Con Op Exp'!$D$12,0)</f>
        <v>0</v>
      </c>
      <c r="F76" s="369">
        <f>1000*'Con Financing'!G46</f>
        <v>0</v>
      </c>
      <c r="G76" s="12">
        <f t="shared" si="4"/>
        <v>0</v>
      </c>
      <c r="H76" s="370">
        <f>G76*EFFECT('Con Financing'!$E$7,12)/12</f>
        <v>0</v>
      </c>
      <c r="I76" s="130"/>
      <c r="K76" s="127">
        <f t="shared" si="7"/>
        <v>32</v>
      </c>
      <c r="L76" s="129">
        <f>IF(K76='Con Calculations'!V$12,'Con Sales'!D$25,0)</f>
        <v>0</v>
      </c>
      <c r="M76" s="31">
        <f>SUM('Con Financing'!$H$15:'Con Financing'!H46)</f>
        <v>1</v>
      </c>
      <c r="N76" s="129">
        <f>IF(K76&lt;=('Con Calculations'!$V$5+'Con Sales'!$E$13),'Con Op Exp'!$D$12,0)</f>
        <v>0</v>
      </c>
      <c r="O76" s="369">
        <f>1000*'Con Financing'!H46</f>
        <v>0</v>
      </c>
      <c r="P76" s="12">
        <f t="shared" si="5"/>
        <v>0</v>
      </c>
      <c r="Q76" s="370">
        <f>P76*EFFECT('Con Financing'!$E$7,12)/12</f>
        <v>0</v>
      </c>
      <c r="R76" s="130"/>
    </row>
    <row r="77" spans="2:18" ht="15">
      <c r="B77" s="127">
        <f t="shared" si="6"/>
        <v>33</v>
      </c>
      <c r="C77" s="129">
        <f>IF(B77='Con Calculations'!V$7,'Con Sales'!D$24,0)</f>
        <v>0</v>
      </c>
      <c r="D77" s="31">
        <f>SUM('Con Financing'!$G$15:'Con Financing'!G47)</f>
        <v>1</v>
      </c>
      <c r="E77" s="129">
        <f>IF(B77&lt;=('Con Calculations'!$V$5+'Con Sales'!$E$12),'Con Op Exp'!$D$12,0)</f>
        <v>0</v>
      </c>
      <c r="F77" s="369">
        <f>1000*'Con Financing'!G47</f>
        <v>0</v>
      </c>
      <c r="G77" s="12">
        <f t="shared" si="4"/>
        <v>0</v>
      </c>
      <c r="H77" s="370">
        <f>G77*EFFECT('Con Financing'!$E$7,12)/12</f>
        <v>0</v>
      </c>
      <c r="I77" s="130"/>
      <c r="K77" s="127">
        <f t="shared" si="7"/>
        <v>33</v>
      </c>
      <c r="L77" s="129">
        <f>IF(K77='Con Calculations'!V$12,'Con Sales'!D$25,0)</f>
        <v>0</v>
      </c>
      <c r="M77" s="31">
        <f>SUM('Con Financing'!$H$15:'Con Financing'!H47)</f>
        <v>1</v>
      </c>
      <c r="N77" s="129">
        <f>IF(K77&lt;=('Con Calculations'!$V$5+'Con Sales'!$E$13),'Con Op Exp'!$D$12,0)</f>
        <v>0</v>
      </c>
      <c r="O77" s="369">
        <f>1000*'Con Financing'!H47</f>
        <v>0</v>
      </c>
      <c r="P77" s="12">
        <f t="shared" si="5"/>
        <v>0</v>
      </c>
      <c r="Q77" s="370">
        <f>P77*EFFECT('Con Financing'!$E$7,12)/12</f>
        <v>0</v>
      </c>
      <c r="R77" s="130"/>
    </row>
    <row r="78" spans="2:18" ht="15">
      <c r="B78" s="127">
        <f t="shared" si="6"/>
        <v>34</v>
      </c>
      <c r="C78" s="129">
        <f>IF(B78='Con Calculations'!V$7,'Con Sales'!D$24,0)</f>
        <v>0</v>
      </c>
      <c r="D78" s="31">
        <f>SUM('Con Financing'!$G$15:'Con Financing'!G48)</f>
        <v>1</v>
      </c>
      <c r="E78" s="129">
        <f>IF(B78&lt;=('Con Calculations'!$V$5+'Con Sales'!$E$12),'Con Op Exp'!$D$12,0)</f>
        <v>0</v>
      </c>
      <c r="F78" s="369">
        <f>1000*'Con Financing'!G48</f>
        <v>0</v>
      </c>
      <c r="G78" s="12">
        <f t="shared" si="4"/>
        <v>0</v>
      </c>
      <c r="H78" s="370">
        <f>G78*EFFECT('Con Financing'!$E$7,12)/12</f>
        <v>0</v>
      </c>
      <c r="I78" s="130"/>
      <c r="K78" s="127">
        <f t="shared" si="7"/>
        <v>34</v>
      </c>
      <c r="L78" s="129">
        <f>IF(K78='Con Calculations'!V$12,'Con Sales'!D$25,0)</f>
        <v>0</v>
      </c>
      <c r="M78" s="31">
        <f>SUM('Con Financing'!$H$15:'Con Financing'!H48)</f>
        <v>1</v>
      </c>
      <c r="N78" s="129">
        <f>IF(K78&lt;=('Con Calculations'!$V$5+'Con Sales'!$E$13),'Con Op Exp'!$D$12,0)</f>
        <v>0</v>
      </c>
      <c r="O78" s="369">
        <f>1000*'Con Financing'!H48</f>
        <v>0</v>
      </c>
      <c r="P78" s="12">
        <f t="shared" si="5"/>
        <v>0</v>
      </c>
      <c r="Q78" s="370">
        <f>P78*EFFECT('Con Financing'!$E$7,12)/12</f>
        <v>0</v>
      </c>
      <c r="R78" s="130"/>
    </row>
    <row r="79" spans="2:18" ht="15">
      <c r="B79" s="127">
        <f t="shared" si="6"/>
        <v>35</v>
      </c>
      <c r="C79" s="129">
        <f>IF(B79='Con Calculations'!V$7,'Con Sales'!D$24,0)</f>
        <v>0</v>
      </c>
      <c r="D79" s="31">
        <f>SUM('Con Financing'!$G$15:'Con Financing'!G49)</f>
        <v>1</v>
      </c>
      <c r="E79" s="129">
        <f>IF(B79&lt;=('Con Calculations'!$V$5+'Con Sales'!$E$12),'Con Op Exp'!$D$12,0)</f>
        <v>0</v>
      </c>
      <c r="F79" s="369">
        <f>1000*'Con Financing'!G49</f>
        <v>0</v>
      </c>
      <c r="G79" s="12">
        <f t="shared" si="4"/>
        <v>0</v>
      </c>
      <c r="H79" s="370">
        <f>G79*EFFECT('Con Financing'!$E$7,12)/12</f>
        <v>0</v>
      </c>
      <c r="I79" s="130"/>
      <c r="K79" s="127">
        <f t="shared" si="7"/>
        <v>35</v>
      </c>
      <c r="L79" s="129">
        <f>IF(K79='Con Calculations'!V$12,'Con Sales'!D$25,0)</f>
        <v>0</v>
      </c>
      <c r="M79" s="31">
        <f>SUM('Con Financing'!$H$15:'Con Financing'!H49)</f>
        <v>1</v>
      </c>
      <c r="N79" s="129">
        <f>IF(K79&lt;=('Con Calculations'!$V$5+'Con Sales'!$E$13),'Con Op Exp'!$D$12,0)</f>
        <v>0</v>
      </c>
      <c r="O79" s="369">
        <f>1000*'Con Financing'!H49</f>
        <v>0</v>
      </c>
      <c r="P79" s="12">
        <f t="shared" si="5"/>
        <v>0</v>
      </c>
      <c r="Q79" s="370">
        <f>P79*EFFECT('Con Financing'!$E$7,12)/12</f>
        <v>0</v>
      </c>
      <c r="R79" s="130"/>
    </row>
    <row r="80" spans="2:18" ht="15">
      <c r="B80" s="127">
        <f t="shared" si="6"/>
        <v>36</v>
      </c>
      <c r="C80" s="129">
        <f>IF(B80='Con Calculations'!V$7,'Con Sales'!D$24,0)</f>
        <v>0</v>
      </c>
      <c r="D80" s="31">
        <f>SUM('Con Financing'!$G$15:'Con Financing'!G50)</f>
        <v>1</v>
      </c>
      <c r="E80" s="129">
        <f>IF(B80&lt;=('Con Calculations'!$V$5+'Con Sales'!$E$12),'Con Op Exp'!$D$12,0)</f>
        <v>0</v>
      </c>
      <c r="F80" s="369">
        <f>1000*'Con Financing'!G50</f>
        <v>0</v>
      </c>
      <c r="G80" s="12">
        <f t="shared" si="4"/>
        <v>0</v>
      </c>
      <c r="H80" s="370">
        <f>G80*EFFECT('Con Financing'!$E$7,12)/12</f>
        <v>0</v>
      </c>
      <c r="I80" s="130"/>
      <c r="K80" s="127">
        <f t="shared" si="7"/>
        <v>36</v>
      </c>
      <c r="L80" s="129">
        <f>IF(K80='Con Calculations'!V$12,'Con Sales'!D$25,0)</f>
        <v>0</v>
      </c>
      <c r="M80" s="31">
        <f>SUM('Con Financing'!$H$15:'Con Financing'!H50)</f>
        <v>1</v>
      </c>
      <c r="N80" s="129">
        <f>IF(K80&lt;=('Con Calculations'!$V$5+'Con Sales'!$E$13),'Con Op Exp'!$D$12,0)</f>
        <v>0</v>
      </c>
      <c r="O80" s="369">
        <f>1000*'Con Financing'!H50</f>
        <v>0</v>
      </c>
      <c r="P80" s="12">
        <f t="shared" si="5"/>
        <v>0</v>
      </c>
      <c r="Q80" s="370">
        <f>P80*EFFECT('Con Financing'!$E$7,12)/12</f>
        <v>0</v>
      </c>
      <c r="R80" s="130"/>
    </row>
    <row r="81" spans="2:18" ht="15.75" thickBot="1">
      <c r="B81" s="131"/>
      <c r="C81" s="132"/>
      <c r="D81" s="132"/>
      <c r="E81" s="64"/>
      <c r="F81" s="371"/>
      <c r="G81" s="132"/>
      <c r="H81" s="372"/>
      <c r="I81" s="133"/>
      <c r="K81" s="131"/>
      <c r="L81" s="132"/>
      <c r="M81" s="64"/>
      <c r="N81" s="132"/>
      <c r="O81" s="371"/>
      <c r="P81" s="132"/>
      <c r="Q81" s="372"/>
      <c r="R81" s="133"/>
    </row>
  </sheetData>
  <sheetProtection password="CFB3" sheet="1"/>
  <mergeCells count="4">
    <mergeCell ref="F2:H2"/>
    <mergeCell ref="F43:H43"/>
    <mergeCell ref="O2:Q2"/>
    <mergeCell ref="O43:Q43"/>
  </mergeCells>
  <printOptions/>
  <pageMargins left="0.75" right="0.75" top="1" bottom="1"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B4:H45"/>
  <sheetViews>
    <sheetView zoomScale="90" zoomScaleNormal="90" zoomScalePageLayoutView="0" workbookViewId="0" topLeftCell="A1">
      <selection activeCell="A1" sqref="A1"/>
    </sheetView>
  </sheetViews>
  <sheetFormatPr defaultColWidth="11.421875" defaultRowHeight="15"/>
  <cols>
    <col min="1" max="1" width="11.421875" style="0" customWidth="1"/>
    <col min="2" max="2" width="35.00390625" style="0" bestFit="1" customWidth="1"/>
    <col min="3" max="3" width="18.421875" style="0" bestFit="1" customWidth="1"/>
    <col min="4" max="4" width="21.140625" style="0" bestFit="1" customWidth="1"/>
    <col min="5" max="5" width="19.421875" style="0" bestFit="1" customWidth="1"/>
    <col min="6" max="6" width="22.00390625" style="0" bestFit="1" customWidth="1"/>
    <col min="7" max="7" width="11.421875" style="0" customWidth="1"/>
    <col min="8" max="8" width="34.28125" style="0" bestFit="1" customWidth="1"/>
    <col min="9" max="9" width="11.7109375" style="0" bestFit="1" customWidth="1"/>
    <col min="10" max="10" width="13.140625" style="0" bestFit="1" customWidth="1"/>
    <col min="11" max="11" width="11.421875" style="0" customWidth="1"/>
    <col min="12" max="12" width="34.28125" style="0" bestFit="1" customWidth="1"/>
    <col min="13" max="13" width="11.7109375" style="0" bestFit="1" customWidth="1"/>
    <col min="14" max="14" width="13.140625" style="0" bestFit="1" customWidth="1"/>
  </cols>
  <sheetData>
    <row r="3" ht="15.75" thickBot="1"/>
    <row r="4" spans="2:6" ht="15">
      <c r="B4" s="375" t="s">
        <v>212</v>
      </c>
      <c r="C4" s="266"/>
      <c r="D4" s="266"/>
      <c r="E4" s="266"/>
      <c r="F4" s="267"/>
    </row>
    <row r="5" spans="2:6" ht="15">
      <c r="B5" s="268" t="s">
        <v>154</v>
      </c>
      <c r="C5" s="263">
        <f>'Con Financing'!C5</f>
        <v>0.8</v>
      </c>
      <c r="D5" s="263">
        <f>'Con Financing'!C5</f>
        <v>0.8</v>
      </c>
      <c r="E5" s="263">
        <f>'Con Financing'!E5</f>
        <v>0.8</v>
      </c>
      <c r="F5" s="264">
        <f>'Con Financing'!E5</f>
        <v>0.8</v>
      </c>
    </row>
    <row r="6" spans="2:6" ht="15">
      <c r="B6" s="268" t="s">
        <v>155</v>
      </c>
      <c r="C6" s="263">
        <f>SUM('Con Calculations'!H4:H39)/1000</f>
        <v>0.01883292752923759</v>
      </c>
      <c r="D6" s="263">
        <f>SUM('Con Calculations'!Q4:Q39)/1000</f>
        <v>0.01883292752923759</v>
      </c>
      <c r="E6" s="263">
        <f>SUM('Con Calculations'!H45:H80)/1000</f>
        <v>0.01883292752923759</v>
      </c>
      <c r="F6" s="264">
        <f>SUM('Con Calculations'!Q45:Q80)/1000</f>
        <v>0.01883292752923759</v>
      </c>
    </row>
    <row r="7" spans="2:6" ht="15.75" thickBot="1">
      <c r="B7" s="269" t="s">
        <v>156</v>
      </c>
      <c r="C7" s="270">
        <f>'Con Financing'!C8</f>
        <v>0.01</v>
      </c>
      <c r="D7" s="270">
        <f>'Con Financing'!C8</f>
        <v>0.01</v>
      </c>
      <c r="E7" s="270">
        <f>'Con Financing'!E8</f>
        <v>0.01</v>
      </c>
      <c r="F7" s="271">
        <f>'Con Financing'!E8</f>
        <v>0.01</v>
      </c>
    </row>
    <row r="8" ht="15.75" thickBot="1"/>
    <row r="9" spans="2:4" ht="15">
      <c r="B9" s="19" t="s">
        <v>145</v>
      </c>
      <c r="C9" s="66" t="s">
        <v>4</v>
      </c>
      <c r="D9" s="68" t="s">
        <v>0</v>
      </c>
    </row>
    <row r="10" spans="2:4" ht="15">
      <c r="B10" s="39"/>
      <c r="C10" s="67"/>
      <c r="D10" s="69"/>
    </row>
    <row r="11" spans="2:4" ht="15">
      <c r="B11" s="75" t="s">
        <v>79</v>
      </c>
      <c r="C11" s="70"/>
      <c r="D11" s="71"/>
    </row>
    <row r="12" spans="2:4" ht="15">
      <c r="B12" s="39" t="s">
        <v>140</v>
      </c>
      <c r="C12" s="70">
        <f>'Construction Costs'!C54</f>
        <v>257410.5</v>
      </c>
      <c r="D12" s="70">
        <f>'Construction Costs'!E54</f>
        <v>258129.19565217392</v>
      </c>
    </row>
    <row r="13" spans="2:4" ht="15">
      <c r="B13" s="39"/>
      <c r="C13" s="70"/>
      <c r="D13" s="70"/>
    </row>
    <row r="14" spans="2:4" ht="15">
      <c r="B14" s="75" t="s">
        <v>80</v>
      </c>
      <c r="C14" s="70"/>
      <c r="D14" s="71"/>
    </row>
    <row r="15" spans="2:4" ht="15">
      <c r="B15" s="39" t="s">
        <v>140</v>
      </c>
      <c r="C15" s="70">
        <f>'Construction Costs'!D54</f>
        <v>240010.5</v>
      </c>
      <c r="D15" s="70">
        <f>'Construction Costs'!F54</f>
        <v>240010.5</v>
      </c>
    </row>
    <row r="16" spans="2:4" ht="15">
      <c r="B16" s="39"/>
      <c r="C16" s="70"/>
      <c r="D16" s="70"/>
    </row>
    <row r="17" spans="2:4" ht="15">
      <c r="B17" s="159" t="s">
        <v>77</v>
      </c>
      <c r="C17" s="347">
        <f>'Construction Costs'!C47</f>
        <v>0.107</v>
      </c>
      <c r="D17" s="348">
        <f>'Construction Costs'!C47</f>
        <v>0.107</v>
      </c>
    </row>
    <row r="18" spans="2:4" ht="15">
      <c r="B18" s="92" t="s">
        <v>206</v>
      </c>
      <c r="C18" s="373">
        <f>C17/(1-C17)</f>
        <v>0.11982082866741321</v>
      </c>
      <c r="D18" s="163">
        <f>D17/(1-D17)</f>
        <v>0.11982082866741321</v>
      </c>
    </row>
    <row r="19" spans="2:4" ht="15">
      <c r="B19" s="39"/>
      <c r="C19" s="374"/>
      <c r="D19" s="73"/>
    </row>
    <row r="20" spans="2:4" ht="15">
      <c r="B20" s="39" t="s">
        <v>143</v>
      </c>
      <c r="C20" s="74">
        <f>('Con Sales'!C24/(1+C18)-SUM('Con Calculations'!E4:E39))/(1+C5*(C6+C7))-C12</f>
        <v>60271.7329597951</v>
      </c>
      <c r="D20" s="74">
        <f>('Con Sales'!D24/(1+D18)-SUM('Con Calculations'!E45:E80))/(1+E5*(E6+E7))-D12</f>
        <v>63158.35409829437</v>
      </c>
    </row>
    <row r="21" spans="2:4" ht="15">
      <c r="B21" s="39" t="s">
        <v>144</v>
      </c>
      <c r="C21" s="74">
        <f>('Con Sales'!C25/(1+C18)-SUM('Con Calculations'!N4:N39))/(1+D5*(D6+D7))-C15</f>
        <v>-9614.884077556693</v>
      </c>
      <c r="D21" s="74">
        <f>('Con Sales'!D25/(1+D18)-SUM('Con Calculations'!N45:N80))/(1+F5*(F6+F7))-D15</f>
        <v>-9614.884077556693</v>
      </c>
    </row>
    <row r="22" spans="2:4" ht="15.75" thickBot="1">
      <c r="B22" s="29"/>
      <c r="C22" s="195"/>
      <c r="D22" s="72"/>
    </row>
    <row r="24" spans="3:6" ht="15">
      <c r="C24" s="340"/>
      <c r="D24" s="340"/>
      <c r="E24" s="340"/>
      <c r="F24" s="340"/>
    </row>
    <row r="25" spans="3:6" ht="15">
      <c r="C25" s="303"/>
      <c r="D25" s="303"/>
      <c r="E25" s="303"/>
      <c r="F25" s="303"/>
    </row>
    <row r="44" ht="15">
      <c r="H44" s="323"/>
    </row>
    <row r="45" ht="15">
      <c r="H45" s="303"/>
    </row>
  </sheetData>
  <sheetProtection password="CFB3" sheet="1" objects="1" scenarios="1"/>
  <printOptions/>
  <pageMargins left="0.75" right="0.75" top="1" bottom="1"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tabColor theme="9" tint="0.7999799847602844"/>
  </sheetPr>
  <dimension ref="B2:AA57"/>
  <sheetViews>
    <sheetView zoomScale="90" zoomScaleNormal="90" zoomScalePageLayoutView="0" workbookViewId="0" topLeftCell="A1">
      <selection activeCell="A1" sqref="A1"/>
    </sheetView>
  </sheetViews>
  <sheetFormatPr defaultColWidth="10.28125" defaultRowHeight="15"/>
  <cols>
    <col min="1" max="1" width="7.28125" style="76" customWidth="1"/>
    <col min="2" max="2" width="27.421875" style="76" bestFit="1" customWidth="1"/>
    <col min="3" max="3" width="10.421875" style="76" bestFit="1" customWidth="1"/>
    <col min="4" max="4" width="10.8515625" style="76" bestFit="1" customWidth="1"/>
    <col min="5" max="5" width="14.7109375" style="76" customWidth="1"/>
    <col min="6" max="6" width="11.421875" style="76" bestFit="1" customWidth="1"/>
    <col min="7" max="7" width="10.140625" style="76" bestFit="1" customWidth="1"/>
    <col min="8" max="9" width="10.8515625" style="76" bestFit="1" customWidth="1"/>
    <col min="10" max="11" width="10.00390625" style="76" bestFit="1" customWidth="1"/>
    <col min="12" max="14" width="11.00390625" style="76" customWidth="1"/>
    <col min="15" max="24" width="10.00390625" style="76" customWidth="1"/>
    <col min="25" max="25" width="4.7109375" style="76" customWidth="1"/>
    <col min="26" max="16384" width="10.28125" style="76" customWidth="1"/>
  </cols>
  <sheetData>
    <row r="2" ht="15.75" thickBot="1">
      <c r="M2" s="339"/>
    </row>
    <row r="3" spans="2:25" ht="15.75" thickBot="1">
      <c r="B3" s="59" t="s">
        <v>101</v>
      </c>
      <c r="C3" s="46" t="s">
        <v>26</v>
      </c>
      <c r="D3" s="46">
        <v>0</v>
      </c>
      <c r="E3" s="46">
        <v>1</v>
      </c>
      <c r="F3" s="46">
        <f>E3+1</f>
        <v>2</v>
      </c>
      <c r="G3" s="46">
        <f aca="true" t="shared" si="0" ref="G3:X3">F3+1</f>
        <v>3</v>
      </c>
      <c r="H3" s="46">
        <f t="shared" si="0"/>
        <v>4</v>
      </c>
      <c r="I3" s="46">
        <f t="shared" si="0"/>
        <v>5</v>
      </c>
      <c r="J3" s="46">
        <f t="shared" si="0"/>
        <v>6</v>
      </c>
      <c r="K3" s="46">
        <f t="shared" si="0"/>
        <v>7</v>
      </c>
      <c r="L3" s="46">
        <f t="shared" si="0"/>
        <v>8</v>
      </c>
      <c r="M3" s="46">
        <f t="shared" si="0"/>
        <v>9</v>
      </c>
      <c r="N3" s="46">
        <f t="shared" si="0"/>
        <v>10</v>
      </c>
      <c r="O3" s="46">
        <f t="shared" si="0"/>
        <v>11</v>
      </c>
      <c r="P3" s="46">
        <f t="shared" si="0"/>
        <v>12</v>
      </c>
      <c r="Q3" s="46">
        <f t="shared" si="0"/>
        <v>13</v>
      </c>
      <c r="R3" s="46">
        <f t="shared" si="0"/>
        <v>14</v>
      </c>
      <c r="S3" s="46">
        <f t="shared" si="0"/>
        <v>15</v>
      </c>
      <c r="T3" s="46">
        <f t="shared" si="0"/>
        <v>16</v>
      </c>
      <c r="U3" s="46">
        <f t="shared" si="0"/>
        <v>17</v>
      </c>
      <c r="V3" s="46">
        <f t="shared" si="0"/>
        <v>18</v>
      </c>
      <c r="W3" s="46">
        <f t="shared" si="0"/>
        <v>19</v>
      </c>
      <c r="X3" s="46">
        <f t="shared" si="0"/>
        <v>20</v>
      </c>
      <c r="Y3" s="47"/>
    </row>
    <row r="4" spans="2:25" ht="15">
      <c r="B4" s="10"/>
      <c r="C4" s="140"/>
      <c r="D4" s="128"/>
      <c r="E4" s="141"/>
      <c r="F4" s="141"/>
      <c r="G4" s="141"/>
      <c r="H4" s="141"/>
      <c r="I4" s="141"/>
      <c r="J4" s="141"/>
      <c r="K4" s="141"/>
      <c r="L4" s="141"/>
      <c r="M4" s="141"/>
      <c r="N4" s="141"/>
      <c r="O4" s="141"/>
      <c r="P4" s="141"/>
      <c r="Q4" s="141"/>
      <c r="R4" s="141"/>
      <c r="S4" s="141"/>
      <c r="T4" s="141"/>
      <c r="U4" s="141"/>
      <c r="V4" s="141"/>
      <c r="W4" s="141"/>
      <c r="X4" s="141"/>
      <c r="Y4" s="142"/>
    </row>
    <row r="5" spans="2:25" ht="15">
      <c r="B5" s="10" t="s">
        <v>168</v>
      </c>
      <c r="C5" s="140"/>
      <c r="D5" s="128"/>
      <c r="E5" s="141"/>
      <c r="F5" s="141"/>
      <c r="G5" s="141"/>
      <c r="H5" s="141"/>
      <c r="I5" s="141"/>
      <c r="J5" s="141"/>
      <c r="K5" s="141"/>
      <c r="L5" s="141"/>
      <c r="M5" s="141"/>
      <c r="N5" s="141"/>
      <c r="O5" s="141"/>
      <c r="P5" s="141"/>
      <c r="Q5" s="141"/>
      <c r="R5" s="141"/>
      <c r="S5" s="141"/>
      <c r="T5" s="141"/>
      <c r="U5" s="141"/>
      <c r="V5" s="141"/>
      <c r="W5" s="141"/>
      <c r="X5" s="141"/>
      <c r="Y5" s="142"/>
    </row>
    <row r="6" spans="2:25" ht="15">
      <c r="B6" s="39" t="s">
        <v>36</v>
      </c>
      <c r="C6" s="140"/>
      <c r="D6" s="128"/>
      <c r="E6" s="144">
        <f ca="1">OFFSET('Con Calculations'!$C$4,E3-1,0,,)</f>
        <v>0</v>
      </c>
      <c r="F6" s="144">
        <f ca="1">OFFSET('Con Calculations'!$C$4,F3-1,0,,)</f>
        <v>0</v>
      </c>
      <c r="G6" s="144">
        <f ca="1">OFFSET('Con Calculations'!$C$4,G3-1,0,,)</f>
        <v>0</v>
      </c>
      <c r="H6" s="144">
        <f ca="1">OFFSET('Con Calculations'!$C$4,H3-1,0,,)</f>
        <v>0</v>
      </c>
      <c r="I6" s="144">
        <f ca="1">OFFSET('Con Calculations'!$C$4,I3-1,0,,)</f>
        <v>0</v>
      </c>
      <c r="J6" s="144">
        <f ca="1">OFFSET('Con Calculations'!$C$4,J3-1,0,,)</f>
        <v>0</v>
      </c>
      <c r="K6" s="144">
        <f ca="1">OFFSET('Con Calculations'!$C$4,K3-1,0,,)</f>
        <v>0</v>
      </c>
      <c r="L6" s="144">
        <f ca="1">OFFSET('Con Calculations'!$C$4,L3-1,0,,)</f>
        <v>0</v>
      </c>
      <c r="M6" s="144">
        <f ca="1">OFFSET('Con Calculations'!$C$4,M3-1,0,,)</f>
        <v>370000</v>
      </c>
      <c r="N6" s="144">
        <f ca="1">OFFSET('Con Calculations'!$C$4,N3-1,0,,)</f>
        <v>0</v>
      </c>
      <c r="O6" s="144">
        <f ca="1">OFFSET('Con Calculations'!$C$4,O3-1,0,,)</f>
        <v>0</v>
      </c>
      <c r="P6" s="144">
        <f ca="1">OFFSET('Con Calculations'!$C$4,P3-1,0,,)</f>
        <v>0</v>
      </c>
      <c r="Q6" s="144">
        <f ca="1">OFFSET('Con Calculations'!$C$4,Q3-1,0,,)</f>
        <v>0</v>
      </c>
      <c r="R6" s="144">
        <f ca="1">OFFSET('Con Calculations'!$C$4,R3-1,0,,)</f>
        <v>0</v>
      </c>
      <c r="S6" s="144">
        <f ca="1">OFFSET('Con Calculations'!$C$4,S3-1,0,,)</f>
        <v>0</v>
      </c>
      <c r="T6" s="144">
        <f ca="1">OFFSET('Con Calculations'!$C$4,T3-1,0,,)</f>
        <v>0</v>
      </c>
      <c r="U6" s="144">
        <f ca="1">OFFSET('Con Calculations'!$C$4,U3-1,0,,)</f>
        <v>0</v>
      </c>
      <c r="V6" s="144">
        <f ca="1">OFFSET('Con Calculations'!$C$4,V3-1,0,,)</f>
        <v>0</v>
      </c>
      <c r="W6" s="144">
        <f ca="1">OFFSET('Con Calculations'!$C$4,W3-1,0,,)</f>
        <v>0</v>
      </c>
      <c r="X6" s="144">
        <f ca="1">OFFSET('Con Calculations'!$C$4,X3-1,0,,)</f>
        <v>0</v>
      </c>
      <c r="Y6" s="143"/>
    </row>
    <row r="7" spans="2:25" ht="15">
      <c r="B7" s="39"/>
      <c r="C7" s="140"/>
      <c r="D7" s="128"/>
      <c r="E7" s="144"/>
      <c r="F7" s="144"/>
      <c r="G7" s="144"/>
      <c r="H7" s="144"/>
      <c r="I7" s="144"/>
      <c r="J7" s="144"/>
      <c r="K7" s="144"/>
      <c r="L7" s="144"/>
      <c r="M7" s="144"/>
      <c r="N7" s="144"/>
      <c r="O7" s="144"/>
      <c r="P7" s="144"/>
      <c r="Q7" s="144"/>
      <c r="R7" s="144"/>
      <c r="S7" s="144"/>
      <c r="T7" s="144"/>
      <c r="U7" s="144"/>
      <c r="V7" s="144"/>
      <c r="W7" s="144"/>
      <c r="X7" s="144"/>
      <c r="Y7" s="143"/>
    </row>
    <row r="8" spans="2:25" ht="15">
      <c r="B8" s="10" t="s">
        <v>169</v>
      </c>
      <c r="C8" s="140"/>
      <c r="D8" s="128"/>
      <c r="E8" s="141"/>
      <c r="F8" s="141"/>
      <c r="G8" s="141"/>
      <c r="H8" s="141"/>
      <c r="I8" s="141"/>
      <c r="J8" s="141"/>
      <c r="K8" s="141"/>
      <c r="L8" s="141"/>
      <c r="M8" s="141"/>
      <c r="N8" s="141"/>
      <c r="O8" s="141"/>
      <c r="P8" s="141"/>
      <c r="Q8" s="141"/>
      <c r="R8" s="141"/>
      <c r="S8" s="141"/>
      <c r="T8" s="141"/>
      <c r="U8" s="141"/>
      <c r="V8" s="141"/>
      <c r="W8" s="141"/>
      <c r="X8" s="141"/>
      <c r="Y8" s="142"/>
    </row>
    <row r="9" spans="2:25" ht="15">
      <c r="B9" s="39" t="s">
        <v>175</v>
      </c>
      <c r="C9" s="140"/>
      <c r="D9" s="128"/>
      <c r="E9" s="144">
        <f ca="1">('Lot Price Calculation'!$C$12+'Lot Price Calculation'!$C$20)*OFFSET('Con Financing'!$C$15,E3-1,0,,)</f>
        <v>38064.94840615686</v>
      </c>
      <c r="F9" s="144">
        <f ca="1">('Lot Price Calculation'!$C$12+'Lot Price Calculation'!$C$20)*OFFSET('Con Financing'!$C$15,F3-1,0,,)</f>
        <v>46602.88075893971</v>
      </c>
      <c r="G9" s="144">
        <f ca="1">('Lot Price Calculation'!$C$12+'Lot Price Calculation'!$C$20)*OFFSET('Con Financing'!$C$15,G3-1,0,,)</f>
        <v>46602.88075893971</v>
      </c>
      <c r="H9" s="144">
        <f ca="1">('Lot Price Calculation'!$C$12+'Lot Price Calculation'!$C$20)*OFFSET('Con Financing'!$C$15,H3-1,0,,)</f>
        <v>46602.88075893971</v>
      </c>
      <c r="I9" s="144">
        <f ca="1">('Lot Price Calculation'!$C$12+'Lot Price Calculation'!$C$20)*OFFSET('Con Financing'!$C$15,I3-1,0,,)</f>
        <v>46602.88075893971</v>
      </c>
      <c r="J9" s="144">
        <f ca="1">('Lot Price Calculation'!$C$12+'Lot Price Calculation'!$C$20)*OFFSET('Con Financing'!$C$15,J3-1,0,,)</f>
        <v>46602.88075893971</v>
      </c>
      <c r="K9" s="144">
        <f ca="1">('Lot Price Calculation'!$C$12+'Lot Price Calculation'!$C$20)*OFFSET('Con Financing'!$C$15,K3-1,0,,)</f>
        <v>46602.88075893971</v>
      </c>
      <c r="L9" s="144">
        <f ca="1">('Lot Price Calculation'!$C$12+'Lot Price Calculation'!$C$20)*OFFSET('Con Financing'!$C$15,L3-1,0,,)</f>
        <v>0</v>
      </c>
      <c r="M9" s="144">
        <f ca="1">('Lot Price Calculation'!$C$12+'Lot Price Calculation'!$C$20)*OFFSET('Con Financing'!$C$15,M3-1,0,,)</f>
        <v>0</v>
      </c>
      <c r="N9" s="144">
        <f ca="1">('Lot Price Calculation'!$C$12+'Lot Price Calculation'!$C$20)*OFFSET('Con Financing'!$C$15,N3-1,0,,)</f>
        <v>0</v>
      </c>
      <c r="O9" s="144">
        <f ca="1">('Lot Price Calculation'!$C$12+'Lot Price Calculation'!$C$20)*OFFSET('Con Financing'!$C$15,O3-1,0,,)</f>
        <v>0</v>
      </c>
      <c r="P9" s="144">
        <f ca="1">('Lot Price Calculation'!$C$12+'Lot Price Calculation'!$C$20)*OFFSET('Con Financing'!$C$15,P3-1,0,,)</f>
        <v>0</v>
      </c>
      <c r="Q9" s="144">
        <f ca="1">('Lot Price Calculation'!$C$12+'Lot Price Calculation'!$C$20)*OFFSET('Con Financing'!$C$15,Q3-1,0,,)</f>
        <v>0</v>
      </c>
      <c r="R9" s="144">
        <f ca="1">('Lot Price Calculation'!$C$12+'Lot Price Calculation'!$C$20)*OFFSET('Con Financing'!$C$15,R3-1,0,,)</f>
        <v>0</v>
      </c>
      <c r="S9" s="144">
        <f ca="1">('Lot Price Calculation'!$C$12+'Lot Price Calculation'!$C$20)*OFFSET('Con Financing'!$C$15,S3-1,0,,)</f>
        <v>0</v>
      </c>
      <c r="T9" s="144">
        <f ca="1">('Lot Price Calculation'!$C$12+'Lot Price Calculation'!$C$20)*OFFSET('Con Financing'!$C$15,T3-1,0,,)</f>
        <v>0</v>
      </c>
      <c r="U9" s="144">
        <f ca="1">('Lot Price Calculation'!$C$12+'Lot Price Calculation'!$C$20)*OFFSET('Con Financing'!$C$15,U3-1,0,,)</f>
        <v>0</v>
      </c>
      <c r="V9" s="144">
        <f ca="1">('Lot Price Calculation'!$C$12+'Lot Price Calculation'!$C$20)*OFFSET('Con Financing'!$C$15,V3-1,0,,)</f>
        <v>0</v>
      </c>
      <c r="W9" s="144">
        <f ca="1">('Lot Price Calculation'!$C$12+'Lot Price Calculation'!$C$20)*OFFSET('Con Financing'!$C$15,W3-1,0,,)</f>
        <v>0</v>
      </c>
      <c r="X9" s="144">
        <f ca="1">('Lot Price Calculation'!$C$12+'Lot Price Calculation'!$C$20)*OFFSET('Con Financing'!$C$15,X3-1,0,,)</f>
        <v>0</v>
      </c>
      <c r="Y9" s="143"/>
    </row>
    <row r="10" spans="2:25" ht="15">
      <c r="B10" s="39" t="s">
        <v>50</v>
      </c>
      <c r="C10" s="140"/>
      <c r="D10" s="128"/>
      <c r="E10" s="144">
        <f ca="1">OFFSET('Con Calculations'!$E$4,E3-1,0,,)</f>
        <v>600</v>
      </c>
      <c r="F10" s="144">
        <f ca="1">OFFSET('Con Calculations'!$E$4,F3-1,0,,)</f>
        <v>600</v>
      </c>
      <c r="G10" s="144">
        <f ca="1">OFFSET('Con Calculations'!$E$4,G3-1,0,,)</f>
        <v>600</v>
      </c>
      <c r="H10" s="144">
        <f ca="1">OFFSET('Con Calculations'!$E$4,H3-1,0,,)</f>
        <v>600</v>
      </c>
      <c r="I10" s="144">
        <f ca="1">OFFSET('Con Calculations'!$E$4,I3-1,0,,)</f>
        <v>600</v>
      </c>
      <c r="J10" s="144">
        <f ca="1">OFFSET('Con Calculations'!$E$4,J3-1,0,,)</f>
        <v>600</v>
      </c>
      <c r="K10" s="144">
        <f ca="1">OFFSET('Con Calculations'!$E$4,K3-1,0,,)</f>
        <v>600</v>
      </c>
      <c r="L10" s="144">
        <f ca="1">OFFSET('Con Calculations'!$E$4,L3-1,0,,)</f>
        <v>600</v>
      </c>
      <c r="M10" s="144">
        <f ca="1">OFFSET('Con Calculations'!$E$4,M3-1,0,,)</f>
        <v>600</v>
      </c>
      <c r="N10" s="144">
        <f ca="1">OFFSET('Con Calculations'!$E$4,N3-1,0,,)</f>
        <v>0</v>
      </c>
      <c r="O10" s="144">
        <f ca="1">OFFSET('Con Calculations'!$E$4,O3-1,0,,)</f>
        <v>0</v>
      </c>
      <c r="P10" s="144">
        <f ca="1">OFFSET('Con Calculations'!$E$4,P3-1,0,,)</f>
        <v>0</v>
      </c>
      <c r="Q10" s="144">
        <f ca="1">OFFSET('Con Calculations'!$E$4,Q3-1,0,,)</f>
        <v>0</v>
      </c>
      <c r="R10" s="144">
        <f ca="1">OFFSET('Con Calculations'!$E$4,R3-1,0,,)</f>
        <v>0</v>
      </c>
      <c r="S10" s="144">
        <f ca="1">OFFSET('Con Calculations'!$E$4,S3-1,0,,)</f>
        <v>0</v>
      </c>
      <c r="T10" s="144">
        <f ca="1">OFFSET('Con Calculations'!$E$4,T3-1,0,,)</f>
        <v>0</v>
      </c>
      <c r="U10" s="144">
        <f ca="1">OFFSET('Con Calculations'!$E$4,U3-1,0,,)</f>
        <v>0</v>
      </c>
      <c r="V10" s="144">
        <f ca="1">OFFSET('Con Calculations'!$E$4,V3-1,0,,)</f>
        <v>0</v>
      </c>
      <c r="W10" s="144">
        <f ca="1">OFFSET('Con Calculations'!$E$4,W3-1,0,,)</f>
        <v>0</v>
      </c>
      <c r="X10" s="144">
        <f ca="1">OFFSET('Con Calculations'!$E$4,X3-1,0,,)</f>
        <v>0</v>
      </c>
      <c r="Y10" s="143"/>
    </row>
    <row r="11" spans="2:27" ht="15">
      <c r="B11" s="39"/>
      <c r="C11" s="140"/>
      <c r="D11" s="128"/>
      <c r="E11" s="144"/>
      <c r="F11" s="141"/>
      <c r="G11" s="141"/>
      <c r="H11" s="141"/>
      <c r="I11" s="141"/>
      <c r="J11" s="141"/>
      <c r="K11" s="141"/>
      <c r="L11" s="141"/>
      <c r="M11" s="141"/>
      <c r="N11" s="141"/>
      <c r="O11" s="141"/>
      <c r="P11" s="141"/>
      <c r="Q11" s="141"/>
      <c r="R11" s="141"/>
      <c r="S11" s="141"/>
      <c r="T11" s="141"/>
      <c r="U11" s="141"/>
      <c r="V11" s="141"/>
      <c r="W11" s="141"/>
      <c r="X11" s="141"/>
      <c r="Y11" s="142"/>
      <c r="AA11" s="153"/>
    </row>
    <row r="12" spans="2:25" ht="15">
      <c r="B12" s="10" t="s">
        <v>171</v>
      </c>
      <c r="C12" s="140"/>
      <c r="D12" s="128"/>
      <c r="E12" s="141"/>
      <c r="F12" s="141"/>
      <c r="G12" s="141"/>
      <c r="H12" s="141"/>
      <c r="I12" s="141"/>
      <c r="J12" s="141"/>
      <c r="K12" s="141"/>
      <c r="L12" s="141"/>
      <c r="M12" s="141"/>
      <c r="N12" s="141"/>
      <c r="O12" s="141"/>
      <c r="P12" s="141"/>
      <c r="Q12" s="141"/>
      <c r="R12" s="141"/>
      <c r="S12" s="141"/>
      <c r="T12" s="141"/>
      <c r="U12" s="141"/>
      <c r="V12" s="141"/>
      <c r="W12" s="141"/>
      <c r="X12" s="141"/>
      <c r="Y12" s="142"/>
    </row>
    <row r="13" spans="2:25" ht="15">
      <c r="B13" s="39" t="s">
        <v>38</v>
      </c>
      <c r="C13" s="140"/>
      <c r="D13" s="128"/>
      <c r="E13" s="139">
        <f>E9*'Con Financing'!$C$5</f>
        <v>30451.958724925487</v>
      </c>
      <c r="F13" s="139">
        <f>F9*'Con Financing'!$C$5</f>
        <v>37282.30460715177</v>
      </c>
      <c r="G13" s="139">
        <f>G9*'Con Financing'!$C$5</f>
        <v>37282.30460715177</v>
      </c>
      <c r="H13" s="139">
        <f>H9*'Con Financing'!$C$5</f>
        <v>37282.30460715177</v>
      </c>
      <c r="I13" s="139">
        <f>I9*'Con Financing'!$C$5</f>
        <v>37282.30460715177</v>
      </c>
      <c r="J13" s="139">
        <f>J9*'Con Financing'!$C$5</f>
        <v>37282.30460715177</v>
      </c>
      <c r="K13" s="139">
        <f>K9*'Con Financing'!$C$5</f>
        <v>37282.30460715177</v>
      </c>
      <c r="L13" s="139">
        <f>L9*'Con Financing'!$C$5</f>
        <v>0</v>
      </c>
      <c r="M13" s="139">
        <f>M9*'Con Financing'!$C$5</f>
        <v>0</v>
      </c>
      <c r="N13" s="139">
        <f>N9*'Con Financing'!$C$5</f>
        <v>0</v>
      </c>
      <c r="O13" s="139">
        <f>O9*'Con Financing'!$C$5</f>
        <v>0</v>
      </c>
      <c r="P13" s="139">
        <f>P9*'Con Financing'!$C$5</f>
        <v>0</v>
      </c>
      <c r="Q13" s="139">
        <f>Q9*'Con Financing'!$C$5</f>
        <v>0</v>
      </c>
      <c r="R13" s="139">
        <f>R9*'Con Financing'!$C$5</f>
        <v>0</v>
      </c>
      <c r="S13" s="139">
        <f>S9*'Con Financing'!$C$5</f>
        <v>0</v>
      </c>
      <c r="T13" s="139">
        <f>T9*'Con Financing'!$C$5</f>
        <v>0</v>
      </c>
      <c r="U13" s="139">
        <f>U9*'Con Financing'!$C$5</f>
        <v>0</v>
      </c>
      <c r="V13" s="139">
        <f>V9*'Con Financing'!$C$5</f>
        <v>0</v>
      </c>
      <c r="W13" s="139">
        <f>W9*'Con Financing'!$C$5</f>
        <v>0</v>
      </c>
      <c r="X13" s="139">
        <f>X9*'Con Financing'!$C$5</f>
        <v>0</v>
      </c>
      <c r="Y13" s="145"/>
    </row>
    <row r="14" spans="2:25" ht="15">
      <c r="B14" s="39" t="s">
        <v>102</v>
      </c>
      <c r="C14" s="140"/>
      <c r="D14" s="128"/>
      <c r="E14" s="139">
        <f>SUM(E13:X13)*'Con Financing'!C8</f>
        <v>2541.4578636783613</v>
      </c>
      <c r="F14" s="139">
        <v>0</v>
      </c>
      <c r="G14" s="139">
        <v>0</v>
      </c>
      <c r="H14" s="139">
        <v>0</v>
      </c>
      <c r="I14" s="139">
        <v>0</v>
      </c>
      <c r="J14" s="139">
        <v>0</v>
      </c>
      <c r="K14" s="139">
        <v>0</v>
      </c>
      <c r="L14" s="139">
        <v>0</v>
      </c>
      <c r="M14" s="139">
        <v>0</v>
      </c>
      <c r="N14" s="139">
        <v>0</v>
      </c>
      <c r="O14" s="139">
        <v>0</v>
      </c>
      <c r="P14" s="139">
        <v>0</v>
      </c>
      <c r="Q14" s="139">
        <v>0</v>
      </c>
      <c r="R14" s="139">
        <v>0</v>
      </c>
      <c r="S14" s="139">
        <v>0</v>
      </c>
      <c r="T14" s="139">
        <v>0</v>
      </c>
      <c r="U14" s="139">
        <v>0</v>
      </c>
      <c r="V14" s="139">
        <v>0</v>
      </c>
      <c r="W14" s="139">
        <v>0</v>
      </c>
      <c r="X14" s="139">
        <v>0</v>
      </c>
      <c r="Y14" s="142"/>
    </row>
    <row r="15" spans="2:25" ht="15">
      <c r="B15" s="39" t="s">
        <v>39</v>
      </c>
      <c r="C15" s="140"/>
      <c r="D15" s="128"/>
      <c r="E15" s="139">
        <f>IF(E6&gt;0,SUM($E13:$X13),0)</f>
        <v>0</v>
      </c>
      <c r="F15" s="139">
        <f aca="true" t="shared" si="1" ref="F15:X15">IF(F6&gt;0,SUM($E13:$X13),0)</f>
        <v>0</v>
      </c>
      <c r="G15" s="139">
        <f t="shared" si="1"/>
        <v>0</v>
      </c>
      <c r="H15" s="139">
        <f t="shared" si="1"/>
        <v>0</v>
      </c>
      <c r="I15" s="139">
        <f t="shared" si="1"/>
        <v>0</v>
      </c>
      <c r="J15" s="139">
        <f t="shared" si="1"/>
        <v>0</v>
      </c>
      <c r="K15" s="139">
        <f t="shared" si="1"/>
        <v>0</v>
      </c>
      <c r="L15" s="139">
        <f t="shared" si="1"/>
        <v>0</v>
      </c>
      <c r="M15" s="139">
        <f t="shared" si="1"/>
        <v>254145.78636783612</v>
      </c>
      <c r="N15" s="139">
        <f t="shared" si="1"/>
        <v>0</v>
      </c>
      <c r="O15" s="139">
        <f t="shared" si="1"/>
        <v>0</v>
      </c>
      <c r="P15" s="139">
        <f t="shared" si="1"/>
        <v>0</v>
      </c>
      <c r="Q15" s="139">
        <f t="shared" si="1"/>
        <v>0</v>
      </c>
      <c r="R15" s="139">
        <f t="shared" si="1"/>
        <v>0</v>
      </c>
      <c r="S15" s="139">
        <f t="shared" si="1"/>
        <v>0</v>
      </c>
      <c r="T15" s="139">
        <f t="shared" si="1"/>
        <v>0</v>
      </c>
      <c r="U15" s="139">
        <f t="shared" si="1"/>
        <v>0</v>
      </c>
      <c r="V15" s="139">
        <f t="shared" si="1"/>
        <v>0</v>
      </c>
      <c r="W15" s="139">
        <f t="shared" si="1"/>
        <v>0</v>
      </c>
      <c r="X15" s="139">
        <f t="shared" si="1"/>
        <v>0</v>
      </c>
      <c r="Y15" s="145"/>
    </row>
    <row r="16" spans="2:25" ht="15">
      <c r="B16" s="39" t="s">
        <v>174</v>
      </c>
      <c r="C16" s="140"/>
      <c r="D16" s="128"/>
      <c r="E16" s="139">
        <f>'Lot Price Calculation'!$C$6*'Pro Forma Const.'!E15</f>
        <v>0</v>
      </c>
      <c r="F16" s="139">
        <f>'Lot Price Calculation'!$C$6*'Pro Forma Const.'!F15</f>
        <v>0</v>
      </c>
      <c r="G16" s="139">
        <f>'Lot Price Calculation'!$C$6*'Pro Forma Const.'!G15</f>
        <v>0</v>
      </c>
      <c r="H16" s="139">
        <f>'Lot Price Calculation'!$C$6*'Pro Forma Const.'!H15</f>
        <v>0</v>
      </c>
      <c r="I16" s="139">
        <f>'Lot Price Calculation'!$C$6*'Pro Forma Const.'!I15</f>
        <v>0</v>
      </c>
      <c r="J16" s="139">
        <f>'Lot Price Calculation'!$C$6*'Pro Forma Const.'!J15</f>
        <v>0</v>
      </c>
      <c r="K16" s="139">
        <f>'Lot Price Calculation'!$C$6*'Pro Forma Const.'!K15</f>
        <v>0</v>
      </c>
      <c r="L16" s="139">
        <f>'Lot Price Calculation'!$C$6*'Pro Forma Const.'!L15</f>
        <v>0</v>
      </c>
      <c r="M16" s="139">
        <f>'Lot Price Calculation'!$C$6*'Pro Forma Const.'!M15</f>
        <v>4786.309176526556</v>
      </c>
      <c r="N16" s="139">
        <f>'Lot Price Calculation'!$C$6*'Pro Forma Const.'!N15</f>
        <v>0</v>
      </c>
      <c r="O16" s="139">
        <f>'Lot Price Calculation'!$C$6*'Pro Forma Const.'!O15</f>
        <v>0</v>
      </c>
      <c r="P16" s="139">
        <f>'Lot Price Calculation'!$C$6*'Pro Forma Const.'!P15</f>
        <v>0</v>
      </c>
      <c r="Q16" s="139">
        <f>'Lot Price Calculation'!$C$6*'Pro Forma Const.'!Q15</f>
        <v>0</v>
      </c>
      <c r="R16" s="139">
        <f>'Lot Price Calculation'!$C$6*'Pro Forma Const.'!R15</f>
        <v>0</v>
      </c>
      <c r="S16" s="139">
        <f>'Lot Price Calculation'!$C$6*'Pro Forma Const.'!S15</f>
        <v>0</v>
      </c>
      <c r="T16" s="139">
        <f>'Lot Price Calculation'!$C$6*'Pro Forma Const.'!T15</f>
        <v>0</v>
      </c>
      <c r="U16" s="139">
        <f>'Lot Price Calculation'!$C$6*'Pro Forma Const.'!U15</f>
        <v>0</v>
      </c>
      <c r="V16" s="139">
        <f>'Lot Price Calculation'!$C$6*'Pro Forma Const.'!V15</f>
        <v>0</v>
      </c>
      <c r="W16" s="139">
        <f>'Lot Price Calculation'!$C$6*'Pro Forma Const.'!W15</f>
        <v>0</v>
      </c>
      <c r="X16" s="139">
        <f>'Lot Price Calculation'!$C$6*'Pro Forma Const.'!X15</f>
        <v>0</v>
      </c>
      <c r="Y16" s="142"/>
    </row>
    <row r="17" spans="2:25" ht="15">
      <c r="B17" s="39"/>
      <c r="C17" s="140"/>
      <c r="D17" s="128"/>
      <c r="E17" s="141"/>
      <c r="F17" s="141"/>
      <c r="G17" s="141"/>
      <c r="H17" s="141"/>
      <c r="I17" s="141"/>
      <c r="J17" s="141"/>
      <c r="K17" s="141"/>
      <c r="L17" s="141"/>
      <c r="M17" s="141"/>
      <c r="N17" s="141"/>
      <c r="O17" s="141"/>
      <c r="P17" s="141"/>
      <c r="Q17" s="141"/>
      <c r="R17" s="141"/>
      <c r="S17" s="141"/>
      <c r="T17" s="141"/>
      <c r="U17" s="141"/>
      <c r="V17" s="141"/>
      <c r="W17" s="141"/>
      <c r="X17" s="141"/>
      <c r="Y17" s="142"/>
    </row>
    <row r="18" spans="2:25" ht="15">
      <c r="B18" s="39" t="s">
        <v>210</v>
      </c>
      <c r="C18" s="140"/>
      <c r="D18" s="129">
        <f>(1-'Lot Price Calculation'!C5)*('Lot Price Calculation'!C12+'Lot Price Calculation'!C20)+SUM(E10:Y10)+SUM(E14:X14)</f>
        <v>71477.90445563737</v>
      </c>
      <c r="E18" s="141"/>
      <c r="F18" s="141"/>
      <c r="G18" s="141"/>
      <c r="H18" s="141"/>
      <c r="I18" s="141"/>
      <c r="J18" s="141"/>
      <c r="K18" s="141"/>
      <c r="L18" s="141"/>
      <c r="M18" s="141"/>
      <c r="N18" s="141"/>
      <c r="O18" s="141"/>
      <c r="P18" s="141"/>
      <c r="Q18" s="141"/>
      <c r="R18" s="141"/>
      <c r="S18" s="141"/>
      <c r="T18" s="141"/>
      <c r="U18" s="141"/>
      <c r="V18" s="141"/>
      <c r="W18" s="141"/>
      <c r="X18" s="141"/>
      <c r="Y18" s="142"/>
    </row>
    <row r="19" spans="2:25" ht="15">
      <c r="B19" s="39"/>
      <c r="C19" s="140"/>
      <c r="D19" s="128"/>
      <c r="E19" s="141"/>
      <c r="F19" s="141"/>
      <c r="G19" s="141"/>
      <c r="H19" s="141"/>
      <c r="I19" s="141"/>
      <c r="J19" s="141"/>
      <c r="K19" s="141"/>
      <c r="L19" s="141"/>
      <c r="M19" s="141"/>
      <c r="N19" s="141"/>
      <c r="O19" s="141"/>
      <c r="P19" s="141"/>
      <c r="Q19" s="141"/>
      <c r="R19" s="141"/>
      <c r="S19" s="141"/>
      <c r="T19" s="141"/>
      <c r="U19" s="141"/>
      <c r="V19" s="141"/>
      <c r="W19" s="141"/>
      <c r="X19" s="141"/>
      <c r="Y19" s="142"/>
    </row>
    <row r="20" spans="2:25" ht="15.75" thickBot="1">
      <c r="B20" s="32" t="s">
        <v>172</v>
      </c>
      <c r="C20" s="146"/>
      <c r="D20" s="132">
        <f>D18</f>
        <v>71477.90445563737</v>
      </c>
      <c r="E20" s="147">
        <f aca="true" t="shared" si="2" ref="E20:X20">E6+E13-E9-E10-E14-E15-E16</f>
        <v>-10754.447544909732</v>
      </c>
      <c r="F20" s="147">
        <f t="shared" si="2"/>
        <v>-9920.576151787944</v>
      </c>
      <c r="G20" s="147">
        <f t="shared" si="2"/>
        <v>-9920.576151787944</v>
      </c>
      <c r="H20" s="147">
        <f t="shared" si="2"/>
        <v>-9920.576151787944</v>
      </c>
      <c r="I20" s="147">
        <f t="shared" si="2"/>
        <v>-9920.576151787944</v>
      </c>
      <c r="J20" s="147">
        <f t="shared" si="2"/>
        <v>-9920.576151787944</v>
      </c>
      <c r="K20" s="147">
        <f t="shared" si="2"/>
        <v>-9920.576151787944</v>
      </c>
      <c r="L20" s="147">
        <f t="shared" si="2"/>
        <v>-600</v>
      </c>
      <c r="M20" s="147">
        <f t="shared" si="2"/>
        <v>110467.90445563733</v>
      </c>
      <c r="N20" s="147">
        <f t="shared" si="2"/>
        <v>0</v>
      </c>
      <c r="O20" s="147">
        <f t="shared" si="2"/>
        <v>0</v>
      </c>
      <c r="P20" s="147">
        <f t="shared" si="2"/>
        <v>0</v>
      </c>
      <c r="Q20" s="147">
        <f t="shared" si="2"/>
        <v>0</v>
      </c>
      <c r="R20" s="147">
        <f t="shared" si="2"/>
        <v>0</v>
      </c>
      <c r="S20" s="147">
        <f t="shared" si="2"/>
        <v>0</v>
      </c>
      <c r="T20" s="147">
        <f t="shared" si="2"/>
        <v>0</v>
      </c>
      <c r="U20" s="147">
        <f t="shared" si="2"/>
        <v>0</v>
      </c>
      <c r="V20" s="147">
        <f t="shared" si="2"/>
        <v>0</v>
      </c>
      <c r="W20" s="147">
        <f t="shared" si="2"/>
        <v>0</v>
      </c>
      <c r="X20" s="147">
        <f t="shared" si="2"/>
        <v>0</v>
      </c>
      <c r="Y20" s="148"/>
    </row>
    <row r="21" spans="5:13" ht="15">
      <c r="E21" s="93"/>
      <c r="K21" s="93"/>
      <c r="M21" s="93"/>
    </row>
    <row r="22" ht="15.75" thickBot="1"/>
    <row r="23" spans="2:25" ht="15.75" thickBot="1">
      <c r="B23" s="59" t="s">
        <v>101</v>
      </c>
      <c r="C23" s="46" t="s">
        <v>26</v>
      </c>
      <c r="D23" s="46">
        <v>0</v>
      </c>
      <c r="E23" s="46">
        <v>1</v>
      </c>
      <c r="F23" s="46">
        <f aca="true" t="shared" si="3" ref="F23:X23">E23+1</f>
        <v>2</v>
      </c>
      <c r="G23" s="46">
        <f t="shared" si="3"/>
        <v>3</v>
      </c>
      <c r="H23" s="46">
        <f t="shared" si="3"/>
        <v>4</v>
      </c>
      <c r="I23" s="46">
        <f t="shared" si="3"/>
        <v>5</v>
      </c>
      <c r="J23" s="46">
        <f t="shared" si="3"/>
        <v>6</v>
      </c>
      <c r="K23" s="46">
        <f t="shared" si="3"/>
        <v>7</v>
      </c>
      <c r="L23" s="46">
        <f t="shared" si="3"/>
        <v>8</v>
      </c>
      <c r="M23" s="46">
        <f t="shared" si="3"/>
        <v>9</v>
      </c>
      <c r="N23" s="46">
        <f t="shared" si="3"/>
        <v>10</v>
      </c>
      <c r="O23" s="46">
        <f t="shared" si="3"/>
        <v>11</v>
      </c>
      <c r="P23" s="46">
        <f t="shared" si="3"/>
        <v>12</v>
      </c>
      <c r="Q23" s="46">
        <f t="shared" si="3"/>
        <v>13</v>
      </c>
      <c r="R23" s="46">
        <f t="shared" si="3"/>
        <v>14</v>
      </c>
      <c r="S23" s="46">
        <f t="shared" si="3"/>
        <v>15</v>
      </c>
      <c r="T23" s="46">
        <f t="shared" si="3"/>
        <v>16</v>
      </c>
      <c r="U23" s="46">
        <f t="shared" si="3"/>
        <v>17</v>
      </c>
      <c r="V23" s="46">
        <f t="shared" si="3"/>
        <v>18</v>
      </c>
      <c r="W23" s="46">
        <f t="shared" si="3"/>
        <v>19</v>
      </c>
      <c r="X23" s="46">
        <f t="shared" si="3"/>
        <v>20</v>
      </c>
      <c r="Y23" s="47"/>
    </row>
    <row r="24" spans="2:25" ht="15">
      <c r="B24" s="10"/>
      <c r="C24" s="140"/>
      <c r="D24" s="128"/>
      <c r="E24" s="141"/>
      <c r="F24" s="141"/>
      <c r="G24" s="141"/>
      <c r="H24" s="141"/>
      <c r="I24" s="141"/>
      <c r="J24" s="141"/>
      <c r="K24" s="141"/>
      <c r="L24" s="141"/>
      <c r="M24" s="141"/>
      <c r="N24" s="141"/>
      <c r="O24" s="141"/>
      <c r="P24" s="141"/>
      <c r="Q24" s="141"/>
      <c r="R24" s="141"/>
      <c r="S24" s="141"/>
      <c r="T24" s="141"/>
      <c r="U24" s="141"/>
      <c r="V24" s="141"/>
      <c r="W24" s="141"/>
      <c r="X24" s="141"/>
      <c r="Y24" s="142"/>
    </row>
    <row r="25" spans="2:25" ht="15">
      <c r="B25" s="10" t="s">
        <v>168</v>
      </c>
      <c r="C25" s="140"/>
      <c r="D25" s="128"/>
      <c r="E25" s="141"/>
      <c r="F25" s="141"/>
      <c r="G25" s="141"/>
      <c r="H25" s="141"/>
      <c r="I25" s="141"/>
      <c r="J25" s="141"/>
      <c r="K25" s="141"/>
      <c r="L25" s="141"/>
      <c r="M25" s="141"/>
      <c r="N25" s="141"/>
      <c r="O25" s="141"/>
      <c r="P25" s="141"/>
      <c r="Q25" s="141"/>
      <c r="R25" s="141"/>
      <c r="S25" s="141"/>
      <c r="T25" s="141"/>
      <c r="U25" s="141"/>
      <c r="V25" s="141"/>
      <c r="W25" s="141"/>
      <c r="X25" s="141"/>
      <c r="Y25" s="142"/>
    </row>
    <row r="26" spans="2:25" ht="15">
      <c r="B26" s="39" t="s">
        <v>36</v>
      </c>
      <c r="C26" s="140"/>
      <c r="D26" s="128"/>
      <c r="E26" s="144">
        <f ca="1">OFFSET('Con Calculations'!$L$4,E23-1,0,,)</f>
        <v>0</v>
      </c>
      <c r="F26" s="144">
        <f ca="1">OFFSET('Con Calculations'!$L$4,F23-1,0,,)</f>
        <v>0</v>
      </c>
      <c r="G26" s="144">
        <f ca="1">OFFSET('Con Calculations'!$L$4,G23-1,0,,)</f>
        <v>0</v>
      </c>
      <c r="H26" s="144">
        <f ca="1">OFFSET('Con Calculations'!$L$4,H23-1,0,,)</f>
        <v>0</v>
      </c>
      <c r="I26" s="144">
        <f ca="1">OFFSET('Con Calculations'!$L$4,I23-1,0,,)</f>
        <v>0</v>
      </c>
      <c r="J26" s="144">
        <f ca="1">OFFSET('Con Calculations'!$L$4,J23-1,0,,)</f>
        <v>0</v>
      </c>
      <c r="K26" s="144">
        <f ca="1">OFFSET('Con Calculations'!$L$4,K23-1,0,,)</f>
        <v>0</v>
      </c>
      <c r="L26" s="144">
        <f ca="1">OFFSET('Con Calculations'!$L$4,L23-1,0,,)</f>
        <v>0</v>
      </c>
      <c r="M26" s="144">
        <f ca="1">OFFSET('Con Calculations'!$L$4,M23-1,0,,)</f>
        <v>270000</v>
      </c>
      <c r="N26" s="144">
        <f ca="1">OFFSET('Con Calculations'!$L$4,N23-1,0,,)</f>
        <v>0</v>
      </c>
      <c r="O26" s="144">
        <f ca="1">OFFSET('Con Calculations'!$L$4,O23-1,0,,)</f>
        <v>0</v>
      </c>
      <c r="P26" s="144">
        <f ca="1">OFFSET('Con Calculations'!$L$4,P23-1,0,,)</f>
        <v>0</v>
      </c>
      <c r="Q26" s="144">
        <f ca="1">OFFSET('Con Calculations'!$L$4,Q23-1,0,,)</f>
        <v>0</v>
      </c>
      <c r="R26" s="144">
        <f ca="1">OFFSET('Con Calculations'!$L$4,R23-1,0,,)</f>
        <v>0</v>
      </c>
      <c r="S26" s="144">
        <f ca="1">OFFSET('Con Calculations'!$L$4,S23-1,0,,)</f>
        <v>0</v>
      </c>
      <c r="T26" s="144">
        <f ca="1">OFFSET('Con Calculations'!$L$4,T23-1,0,,)</f>
        <v>0</v>
      </c>
      <c r="U26" s="144">
        <f ca="1">OFFSET('Con Calculations'!$L$4,U23-1,0,,)</f>
        <v>0</v>
      </c>
      <c r="V26" s="144">
        <f ca="1">OFFSET('Con Calculations'!$L$4,V23-1,0,,)</f>
        <v>0</v>
      </c>
      <c r="W26" s="144">
        <f ca="1">OFFSET('Con Calculations'!$L$4,W23-1,0,,)</f>
        <v>0</v>
      </c>
      <c r="X26" s="144">
        <f ca="1">OFFSET('Con Calculations'!$L$4,X23-1,0,,)</f>
        <v>0</v>
      </c>
      <c r="Y26" s="143"/>
    </row>
    <row r="27" spans="2:25" ht="15">
      <c r="B27" s="39"/>
      <c r="C27" s="140"/>
      <c r="D27" s="128"/>
      <c r="E27" s="144"/>
      <c r="F27" s="144"/>
      <c r="G27" s="144"/>
      <c r="H27" s="144"/>
      <c r="I27" s="144"/>
      <c r="J27" s="144"/>
      <c r="K27" s="144"/>
      <c r="L27" s="144"/>
      <c r="M27" s="144"/>
      <c r="N27" s="144"/>
      <c r="O27" s="144"/>
      <c r="P27" s="144"/>
      <c r="Q27" s="144"/>
      <c r="R27" s="144"/>
      <c r="S27" s="144"/>
      <c r="T27" s="144"/>
      <c r="U27" s="144"/>
      <c r="V27" s="144"/>
      <c r="W27" s="144"/>
      <c r="X27" s="144"/>
      <c r="Y27" s="143"/>
    </row>
    <row r="28" spans="2:25" ht="15">
      <c r="B28" s="10" t="s">
        <v>169</v>
      </c>
      <c r="C28" s="140"/>
      <c r="D28" s="128"/>
      <c r="E28" s="141"/>
      <c r="F28" s="141"/>
      <c r="G28" s="141"/>
      <c r="H28" s="141"/>
      <c r="I28" s="141"/>
      <c r="J28" s="141"/>
      <c r="K28" s="141"/>
      <c r="L28" s="141"/>
      <c r="M28" s="141"/>
      <c r="N28" s="141"/>
      <c r="O28" s="141"/>
      <c r="P28" s="141"/>
      <c r="Q28" s="141"/>
      <c r="R28" s="141"/>
      <c r="S28" s="141"/>
      <c r="T28" s="141"/>
      <c r="U28" s="141"/>
      <c r="V28" s="141"/>
      <c r="W28" s="141"/>
      <c r="X28" s="141"/>
      <c r="Y28" s="142"/>
    </row>
    <row r="29" spans="2:25" ht="15">
      <c r="B29" s="39" t="s">
        <v>175</v>
      </c>
      <c r="C29" s="140"/>
      <c r="D29" s="128"/>
      <c r="E29" s="144">
        <f ca="1">('Lot Price Calculation'!$C$15+'Lot Price Calculation'!$C$21)*OFFSET('Con Financing'!$D$15,E3-1,0,,)</f>
        <v>27606.193621166218</v>
      </c>
      <c r="F29" s="144">
        <f ca="1">('Lot Price Calculation'!$C$15+'Lot Price Calculation'!$C$21)*OFFSET('Con Financing'!$D$15,F3-1,0,,)</f>
        <v>33798.23705021285</v>
      </c>
      <c r="G29" s="144">
        <f ca="1">('Lot Price Calculation'!$C$15+'Lot Price Calculation'!$C$21)*OFFSET('Con Financing'!$D$15,G3-1,0,,)</f>
        <v>33798.23705021285</v>
      </c>
      <c r="H29" s="144">
        <f ca="1">('Lot Price Calculation'!$C$15+'Lot Price Calculation'!$C$21)*OFFSET('Con Financing'!$D$15,H3-1,0,,)</f>
        <v>33798.23705021285</v>
      </c>
      <c r="I29" s="144">
        <f ca="1">('Lot Price Calculation'!$C$15+'Lot Price Calculation'!$C$21)*OFFSET('Con Financing'!$D$15,I3-1,0,,)</f>
        <v>33798.23705021285</v>
      </c>
      <c r="J29" s="144">
        <f ca="1">('Lot Price Calculation'!$C$15+'Lot Price Calculation'!$C$21)*OFFSET('Con Financing'!$D$15,J3-1,0,,)</f>
        <v>33798.23705021285</v>
      </c>
      <c r="K29" s="144">
        <f ca="1">('Lot Price Calculation'!$C$15+'Lot Price Calculation'!$C$21)*OFFSET('Con Financing'!$D$15,K3-1,0,,)</f>
        <v>33798.23705021285</v>
      </c>
      <c r="L29" s="144">
        <f ca="1">('Lot Price Calculation'!$C$15+'Lot Price Calculation'!$C$21)*OFFSET('Con Financing'!$D$15,L3-1,0,,)</f>
        <v>0</v>
      </c>
      <c r="M29" s="144">
        <f ca="1">('Lot Price Calculation'!$C$15+'Lot Price Calculation'!$C$21)*OFFSET('Con Financing'!$D$15,M3-1,0,,)</f>
        <v>0</v>
      </c>
      <c r="N29" s="144">
        <f ca="1">('Lot Price Calculation'!$C$15+'Lot Price Calculation'!$C$21)*OFFSET('Con Financing'!$D$15,N3-1,0,,)</f>
        <v>0</v>
      </c>
      <c r="O29" s="144">
        <f ca="1">('Lot Price Calculation'!$C$15+'Lot Price Calculation'!$C$21)*OFFSET('Con Financing'!$D$15,O3-1,0,,)</f>
        <v>0</v>
      </c>
      <c r="P29" s="144">
        <f ca="1">('Lot Price Calculation'!$C$15+'Lot Price Calculation'!$C$21)*OFFSET('Con Financing'!$D$15,P3-1,0,,)</f>
        <v>0</v>
      </c>
      <c r="Q29" s="144">
        <f ca="1">('Lot Price Calculation'!$C$15+'Lot Price Calculation'!$C$21)*OFFSET('Con Financing'!$D$15,Q3-1,0,,)</f>
        <v>0</v>
      </c>
      <c r="R29" s="144">
        <f ca="1">('Lot Price Calculation'!$C$15+'Lot Price Calculation'!$C$21)*OFFSET('Con Financing'!$D$15,R3-1,0,,)</f>
        <v>0</v>
      </c>
      <c r="S29" s="144">
        <f ca="1">('Lot Price Calculation'!$C$15+'Lot Price Calculation'!$C$21)*OFFSET('Con Financing'!$D$15,S3-1,0,,)</f>
        <v>0</v>
      </c>
      <c r="T29" s="144">
        <f ca="1">('Lot Price Calculation'!$C$15+'Lot Price Calculation'!$C$21)*OFFSET('Con Financing'!$D$15,T3-1,0,,)</f>
        <v>0</v>
      </c>
      <c r="U29" s="144">
        <f ca="1">('Lot Price Calculation'!$C$15+'Lot Price Calculation'!$C$21)*OFFSET('Con Financing'!$D$15,U3-1,0,,)</f>
        <v>0</v>
      </c>
      <c r="V29" s="144">
        <f ca="1">('Lot Price Calculation'!$C$15+'Lot Price Calculation'!$C$21)*OFFSET('Con Financing'!$D$15,V3-1,0,,)</f>
        <v>0</v>
      </c>
      <c r="W29" s="144">
        <f ca="1">('Lot Price Calculation'!$C$15+'Lot Price Calculation'!$C$21)*OFFSET('Con Financing'!$D$15,W3-1,0,,)</f>
        <v>0</v>
      </c>
      <c r="X29" s="144">
        <f ca="1">('Lot Price Calculation'!$C$15+'Lot Price Calculation'!$C$21)*OFFSET('Con Financing'!$D$15,X3-1,0,,)</f>
        <v>0</v>
      </c>
      <c r="Y29" s="143"/>
    </row>
    <row r="30" spans="2:25" ht="15">
      <c r="B30" s="39" t="s">
        <v>50</v>
      </c>
      <c r="C30" s="140"/>
      <c r="D30" s="128"/>
      <c r="E30" s="144">
        <f ca="1">OFFSET('Con Calculations'!$N$4,E23-1,0,,)</f>
        <v>600</v>
      </c>
      <c r="F30" s="144">
        <f ca="1">OFFSET('Con Calculations'!$N$4,F23-1,0,,)</f>
        <v>600</v>
      </c>
      <c r="G30" s="144">
        <f ca="1">OFFSET('Con Calculations'!$N$4,G23-1,0,,)</f>
        <v>600</v>
      </c>
      <c r="H30" s="144">
        <f ca="1">OFFSET('Con Calculations'!$N$4,H23-1,0,,)</f>
        <v>600</v>
      </c>
      <c r="I30" s="144">
        <f ca="1">OFFSET('Con Calculations'!$N$4,I23-1,0,,)</f>
        <v>600</v>
      </c>
      <c r="J30" s="144">
        <f ca="1">OFFSET('Con Calculations'!$N$4,J23-1,0,,)</f>
        <v>600</v>
      </c>
      <c r="K30" s="144">
        <f ca="1">OFFSET('Con Calculations'!$N$4,K23-1,0,,)</f>
        <v>600</v>
      </c>
      <c r="L30" s="144">
        <f ca="1">OFFSET('Con Calculations'!$N$4,L23-1,0,,)</f>
        <v>600</v>
      </c>
      <c r="M30" s="144">
        <f ca="1">OFFSET('Con Calculations'!$N$4,M23-1,0,,)</f>
        <v>600</v>
      </c>
      <c r="N30" s="144">
        <f ca="1">OFFSET('Con Calculations'!$N$4,N23-1,0,,)</f>
        <v>0</v>
      </c>
      <c r="O30" s="144">
        <f ca="1">OFFSET('Con Calculations'!$N$4,O23-1,0,,)</f>
        <v>0</v>
      </c>
      <c r="P30" s="144">
        <f ca="1">OFFSET('Con Calculations'!$N$4,P23-1,0,,)</f>
        <v>0</v>
      </c>
      <c r="Q30" s="144">
        <f ca="1">OFFSET('Con Calculations'!$N$4,Q23-1,0,,)</f>
        <v>0</v>
      </c>
      <c r="R30" s="144">
        <f ca="1">OFFSET('Con Calculations'!$N$4,R23-1,0,,)</f>
        <v>0</v>
      </c>
      <c r="S30" s="144">
        <f ca="1">OFFSET('Con Calculations'!$N$4,S23-1,0,,)</f>
        <v>0</v>
      </c>
      <c r="T30" s="144">
        <f ca="1">OFFSET('Con Calculations'!$N$4,T23-1,0,,)</f>
        <v>0</v>
      </c>
      <c r="U30" s="144">
        <f ca="1">OFFSET('Con Calculations'!$N$4,U23-1,0,,)</f>
        <v>0</v>
      </c>
      <c r="V30" s="144">
        <f ca="1">OFFSET('Con Calculations'!$N$4,V23-1,0,,)</f>
        <v>0</v>
      </c>
      <c r="W30" s="144">
        <f ca="1">OFFSET('Con Calculations'!$N$4,W23-1,0,,)</f>
        <v>0</v>
      </c>
      <c r="X30" s="144">
        <f ca="1">OFFSET('Con Calculations'!$N$4,X23-1,0,,)</f>
        <v>0</v>
      </c>
      <c r="Y30" s="143"/>
    </row>
    <row r="31" spans="2:25" ht="15">
      <c r="B31" s="39"/>
      <c r="C31" s="140"/>
      <c r="D31" s="128"/>
      <c r="E31" s="144"/>
      <c r="F31" s="141"/>
      <c r="G31" s="141"/>
      <c r="H31" s="141"/>
      <c r="I31" s="141"/>
      <c r="J31" s="141"/>
      <c r="K31" s="141"/>
      <c r="L31" s="141"/>
      <c r="M31" s="141"/>
      <c r="N31" s="141"/>
      <c r="O31" s="141"/>
      <c r="P31" s="141"/>
      <c r="Q31" s="141"/>
      <c r="R31" s="141"/>
      <c r="S31" s="141"/>
      <c r="T31" s="141"/>
      <c r="U31" s="141"/>
      <c r="V31" s="141"/>
      <c r="W31" s="141"/>
      <c r="X31" s="141"/>
      <c r="Y31" s="142"/>
    </row>
    <row r="32" spans="2:25" ht="15">
      <c r="B32" s="10" t="s">
        <v>171</v>
      </c>
      <c r="C32" s="140"/>
      <c r="D32" s="128"/>
      <c r="E32" s="141"/>
      <c r="F32" s="141"/>
      <c r="G32" s="141"/>
      <c r="H32" s="141"/>
      <c r="I32" s="141"/>
      <c r="J32" s="141"/>
      <c r="K32" s="141"/>
      <c r="L32" s="141"/>
      <c r="M32" s="141"/>
      <c r="N32" s="141"/>
      <c r="O32" s="141"/>
      <c r="P32" s="141"/>
      <c r="Q32" s="141"/>
      <c r="R32" s="141"/>
      <c r="S32" s="141"/>
      <c r="T32" s="141"/>
      <c r="U32" s="141"/>
      <c r="V32" s="141"/>
      <c r="W32" s="141"/>
      <c r="X32" s="141"/>
      <c r="Y32" s="142"/>
    </row>
    <row r="33" spans="2:25" ht="15">
      <c r="B33" s="39" t="s">
        <v>38</v>
      </c>
      <c r="C33" s="140"/>
      <c r="D33" s="128"/>
      <c r="E33" s="139">
        <f>E29*'Con Financing'!$C$5</f>
        <v>22084.954896932977</v>
      </c>
      <c r="F33" s="139">
        <f>F29*'Con Financing'!$C$5</f>
        <v>27038.589640170278</v>
      </c>
      <c r="G33" s="139">
        <f>G29*'Con Financing'!$C$5</f>
        <v>27038.589640170278</v>
      </c>
      <c r="H33" s="139">
        <f>H29*'Con Financing'!$C$5</f>
        <v>27038.589640170278</v>
      </c>
      <c r="I33" s="139">
        <f>I29*'Con Financing'!$C$5</f>
        <v>27038.589640170278</v>
      </c>
      <c r="J33" s="139">
        <f>J29*'Con Financing'!$C$5</f>
        <v>27038.589640170278</v>
      </c>
      <c r="K33" s="139">
        <f>K29*'Con Financing'!$C$5</f>
        <v>27038.589640170278</v>
      </c>
      <c r="L33" s="139">
        <f>L29*'Con Financing'!$C$5</f>
        <v>0</v>
      </c>
      <c r="M33" s="139">
        <f>M29*'Con Financing'!$C$5</f>
        <v>0</v>
      </c>
      <c r="N33" s="139">
        <f>N29*'Con Financing'!$C$5</f>
        <v>0</v>
      </c>
      <c r="O33" s="139">
        <f>O29*'Con Financing'!$C$5</f>
        <v>0</v>
      </c>
      <c r="P33" s="139">
        <f>P29*'Con Financing'!$C$5</f>
        <v>0</v>
      </c>
      <c r="Q33" s="139">
        <f>Q29*'Con Financing'!$C$5</f>
        <v>0</v>
      </c>
      <c r="R33" s="139">
        <f>R29*'Con Financing'!$C$5</f>
        <v>0</v>
      </c>
      <c r="S33" s="139">
        <f>S29*'Con Financing'!$C$5</f>
        <v>0</v>
      </c>
      <c r="T33" s="139">
        <f>T29*'Con Financing'!$C$5</f>
        <v>0</v>
      </c>
      <c r="U33" s="139">
        <f>U29*'Con Financing'!$C$5</f>
        <v>0</v>
      </c>
      <c r="V33" s="139">
        <f>V29*'Con Financing'!$C$5</f>
        <v>0</v>
      </c>
      <c r="W33" s="139">
        <f>W29*'Con Financing'!$C$5</f>
        <v>0</v>
      </c>
      <c r="X33" s="139">
        <f>X29*'Con Financing'!$C$5</f>
        <v>0</v>
      </c>
      <c r="Y33" s="145"/>
    </row>
    <row r="34" spans="2:25" ht="15">
      <c r="B34" s="39" t="s">
        <v>102</v>
      </c>
      <c r="C34" s="140"/>
      <c r="D34" s="128"/>
      <c r="E34" s="139">
        <f>SUM(E33:X33)*'Con Financing'!C8</f>
        <v>1843.1649273795465</v>
      </c>
      <c r="F34" s="139">
        <v>0</v>
      </c>
      <c r="G34" s="139">
        <v>0</v>
      </c>
      <c r="H34" s="139">
        <v>0</v>
      </c>
      <c r="I34" s="139">
        <v>0</v>
      </c>
      <c r="J34" s="139">
        <v>0</v>
      </c>
      <c r="K34" s="139">
        <v>0</v>
      </c>
      <c r="L34" s="139">
        <v>0</v>
      </c>
      <c r="M34" s="139">
        <v>0</v>
      </c>
      <c r="N34" s="139">
        <v>0</v>
      </c>
      <c r="O34" s="139">
        <v>0</v>
      </c>
      <c r="P34" s="139">
        <v>0</v>
      </c>
      <c r="Q34" s="139">
        <v>0</v>
      </c>
      <c r="R34" s="139">
        <v>0</v>
      </c>
      <c r="S34" s="139">
        <v>0</v>
      </c>
      <c r="T34" s="139">
        <v>0</v>
      </c>
      <c r="U34" s="139">
        <v>0</v>
      </c>
      <c r="V34" s="139">
        <v>0</v>
      </c>
      <c r="W34" s="139">
        <v>0</v>
      </c>
      <c r="X34" s="139">
        <v>0</v>
      </c>
      <c r="Y34" s="142"/>
    </row>
    <row r="35" spans="2:25" ht="15">
      <c r="B35" s="39" t="s">
        <v>39</v>
      </c>
      <c r="C35" s="140"/>
      <c r="D35" s="128"/>
      <c r="E35" s="139">
        <f>IF(E26&gt;0,SUM($E33:$X33),0)</f>
        <v>0</v>
      </c>
      <c r="F35" s="139">
        <f aca="true" t="shared" si="4" ref="F35:X35">IF(F26&gt;0,SUM($E33:$X33),0)</f>
        <v>0</v>
      </c>
      <c r="G35" s="139">
        <f t="shared" si="4"/>
        <v>0</v>
      </c>
      <c r="H35" s="139">
        <f t="shared" si="4"/>
        <v>0</v>
      </c>
      <c r="I35" s="139">
        <f t="shared" si="4"/>
        <v>0</v>
      </c>
      <c r="J35" s="139">
        <f t="shared" si="4"/>
        <v>0</v>
      </c>
      <c r="K35" s="139">
        <f t="shared" si="4"/>
        <v>0</v>
      </c>
      <c r="L35" s="139">
        <f t="shared" si="4"/>
        <v>0</v>
      </c>
      <c r="M35" s="139">
        <f t="shared" si="4"/>
        <v>184316.49273795466</v>
      </c>
      <c r="N35" s="139">
        <f t="shared" si="4"/>
        <v>0</v>
      </c>
      <c r="O35" s="139">
        <f t="shared" si="4"/>
        <v>0</v>
      </c>
      <c r="P35" s="139">
        <f t="shared" si="4"/>
        <v>0</v>
      </c>
      <c r="Q35" s="139">
        <f t="shared" si="4"/>
        <v>0</v>
      </c>
      <c r="R35" s="139">
        <f t="shared" si="4"/>
        <v>0</v>
      </c>
      <c r="S35" s="139">
        <f t="shared" si="4"/>
        <v>0</v>
      </c>
      <c r="T35" s="139">
        <f t="shared" si="4"/>
        <v>0</v>
      </c>
      <c r="U35" s="139">
        <f t="shared" si="4"/>
        <v>0</v>
      </c>
      <c r="V35" s="139">
        <f t="shared" si="4"/>
        <v>0</v>
      </c>
      <c r="W35" s="139">
        <f t="shared" si="4"/>
        <v>0</v>
      </c>
      <c r="X35" s="139">
        <f t="shared" si="4"/>
        <v>0</v>
      </c>
      <c r="Y35" s="145"/>
    </row>
    <row r="36" spans="2:25" ht="15">
      <c r="B36" s="39" t="s">
        <v>174</v>
      </c>
      <c r="C36" s="140"/>
      <c r="D36" s="128"/>
      <c r="E36" s="139">
        <f>'Lot Price Calculation'!$D$6*'Pro Forma Const.'!E35</f>
        <v>0</v>
      </c>
      <c r="F36" s="139">
        <f>'Lot Price Calculation'!$D$6*'Pro Forma Const.'!F35</f>
        <v>0</v>
      </c>
      <c r="G36" s="139">
        <f>'Lot Price Calculation'!$D$6*'Pro Forma Const.'!G35</f>
        <v>0</v>
      </c>
      <c r="H36" s="139">
        <f>'Lot Price Calculation'!$D$6*'Pro Forma Const.'!H35</f>
        <v>0</v>
      </c>
      <c r="I36" s="139">
        <f>'Lot Price Calculation'!$D$6*'Pro Forma Const.'!I35</f>
        <v>0</v>
      </c>
      <c r="J36" s="139">
        <f>'Lot Price Calculation'!$D$6*'Pro Forma Const.'!J35</f>
        <v>0</v>
      </c>
      <c r="K36" s="139">
        <f>'Lot Price Calculation'!$D$6*'Pro Forma Const.'!K35</f>
        <v>0</v>
      </c>
      <c r="L36" s="139">
        <f>'Lot Price Calculation'!$D$6*'Pro Forma Const.'!L35</f>
        <v>0</v>
      </c>
      <c r="M36" s="139">
        <f>'Lot Price Calculation'!$D$6*'Pro Forma Const.'!M35</f>
        <v>3471.2191501771467</v>
      </c>
      <c r="N36" s="139">
        <f>'Lot Price Calculation'!$D$6*'Pro Forma Const.'!N35</f>
        <v>0</v>
      </c>
      <c r="O36" s="139">
        <f>'Lot Price Calculation'!$D$6*'Pro Forma Const.'!O35</f>
        <v>0</v>
      </c>
      <c r="P36" s="139">
        <f>'Lot Price Calculation'!$D$6*'Pro Forma Const.'!P35</f>
        <v>0</v>
      </c>
      <c r="Q36" s="139">
        <f>'Lot Price Calculation'!$D$6*'Pro Forma Const.'!Q35</f>
        <v>0</v>
      </c>
      <c r="R36" s="139">
        <f>'Lot Price Calculation'!$D$6*'Pro Forma Const.'!R35</f>
        <v>0</v>
      </c>
      <c r="S36" s="139">
        <f>'Lot Price Calculation'!$D$6*'Pro Forma Const.'!S35</f>
        <v>0</v>
      </c>
      <c r="T36" s="139">
        <f>'Lot Price Calculation'!$D$6*'Pro Forma Const.'!T35</f>
        <v>0</v>
      </c>
      <c r="U36" s="139">
        <f>'Lot Price Calculation'!$D$6*'Pro Forma Const.'!U35</f>
        <v>0</v>
      </c>
      <c r="V36" s="139">
        <f>'Lot Price Calculation'!$D$6*'Pro Forma Const.'!V35</f>
        <v>0</v>
      </c>
      <c r="W36" s="139">
        <f>'Lot Price Calculation'!$D$6*'Pro Forma Const.'!W35</f>
        <v>0</v>
      </c>
      <c r="X36" s="139">
        <f>'Lot Price Calculation'!$D$6*'Pro Forma Const.'!X35</f>
        <v>0</v>
      </c>
      <c r="Y36" s="145"/>
    </row>
    <row r="37" spans="2:25" ht="15">
      <c r="B37" s="39"/>
      <c r="C37" s="140"/>
      <c r="D37" s="128"/>
      <c r="E37" s="139"/>
      <c r="F37" s="139"/>
      <c r="G37" s="139"/>
      <c r="H37" s="139"/>
      <c r="I37" s="139"/>
      <c r="J37" s="139"/>
      <c r="K37" s="139"/>
      <c r="L37" s="139"/>
      <c r="M37" s="139"/>
      <c r="N37" s="139"/>
      <c r="O37" s="139"/>
      <c r="P37" s="139"/>
      <c r="Q37" s="139"/>
      <c r="R37" s="139"/>
      <c r="S37" s="139"/>
      <c r="T37" s="139"/>
      <c r="U37" s="139"/>
      <c r="V37" s="139"/>
      <c r="W37" s="139"/>
      <c r="X37" s="139"/>
      <c r="Y37" s="145"/>
    </row>
    <row r="38" spans="2:25" ht="15">
      <c r="B38" s="39" t="s">
        <v>210</v>
      </c>
      <c r="C38" s="140"/>
      <c r="D38" s="129">
        <f>(1-'Lot Price Calculation'!D5)*('Lot Price Calculation'!C15+'Lot Price Calculation'!C21)+SUM(E30:Y30)+SUM(E34:X34)</f>
        <v>53322.2881118682</v>
      </c>
      <c r="E38" s="139"/>
      <c r="F38" s="139"/>
      <c r="G38" s="139"/>
      <c r="H38" s="139"/>
      <c r="I38" s="139"/>
      <c r="J38" s="139"/>
      <c r="K38" s="139"/>
      <c r="L38" s="139"/>
      <c r="M38" s="139"/>
      <c r="N38" s="139"/>
      <c r="O38" s="139"/>
      <c r="P38" s="139"/>
      <c r="Q38" s="139"/>
      <c r="R38" s="139"/>
      <c r="S38" s="139"/>
      <c r="T38" s="139"/>
      <c r="U38" s="139"/>
      <c r="V38" s="139"/>
      <c r="W38" s="139"/>
      <c r="X38" s="139"/>
      <c r="Y38" s="145"/>
    </row>
    <row r="39" spans="2:25" ht="15">
      <c r="B39" s="39"/>
      <c r="C39" s="140"/>
      <c r="D39" s="128"/>
      <c r="E39" s="141"/>
      <c r="F39" s="141"/>
      <c r="G39" s="141"/>
      <c r="H39" s="141"/>
      <c r="I39" s="141"/>
      <c r="J39" s="141"/>
      <c r="K39" s="141"/>
      <c r="L39" s="141"/>
      <c r="M39" s="141"/>
      <c r="N39" s="141"/>
      <c r="O39" s="141"/>
      <c r="P39" s="141"/>
      <c r="Q39" s="141"/>
      <c r="R39" s="141"/>
      <c r="S39" s="141"/>
      <c r="T39" s="141"/>
      <c r="U39" s="141"/>
      <c r="V39" s="141"/>
      <c r="W39" s="141"/>
      <c r="X39" s="141"/>
      <c r="Y39" s="142"/>
    </row>
    <row r="40" spans="2:25" ht="15.75" thickBot="1">
      <c r="B40" s="32" t="s">
        <v>172</v>
      </c>
      <c r="C40" s="146"/>
      <c r="D40" s="132">
        <f>D38</f>
        <v>53322.2881118682</v>
      </c>
      <c r="E40" s="147">
        <f>E26+E33-E29-E30-E34-E35-E36</f>
        <v>-7964.403651612787</v>
      </c>
      <c r="F40" s="147">
        <f aca="true" t="shared" si="5" ref="F40:X40">F26+F33-F29-F30-F34-F35-F36</f>
        <v>-7359.647410042569</v>
      </c>
      <c r="G40" s="147">
        <f t="shared" si="5"/>
        <v>-7359.647410042569</v>
      </c>
      <c r="H40" s="147">
        <f t="shared" si="5"/>
        <v>-7359.647410042569</v>
      </c>
      <c r="I40" s="147">
        <f t="shared" si="5"/>
        <v>-7359.647410042569</v>
      </c>
      <c r="J40" s="147">
        <f t="shared" si="5"/>
        <v>-7359.647410042569</v>
      </c>
      <c r="K40" s="147">
        <f t="shared" si="5"/>
        <v>-7359.647410042569</v>
      </c>
      <c r="L40" s="147">
        <f t="shared" si="5"/>
        <v>-600</v>
      </c>
      <c r="M40" s="147">
        <f t="shared" si="5"/>
        <v>81612.2881118682</v>
      </c>
      <c r="N40" s="147">
        <f t="shared" si="5"/>
        <v>0</v>
      </c>
      <c r="O40" s="147">
        <f t="shared" si="5"/>
        <v>0</v>
      </c>
      <c r="P40" s="147">
        <f t="shared" si="5"/>
        <v>0</v>
      </c>
      <c r="Q40" s="147">
        <f t="shared" si="5"/>
        <v>0</v>
      </c>
      <c r="R40" s="147">
        <f t="shared" si="5"/>
        <v>0</v>
      </c>
      <c r="S40" s="147">
        <f t="shared" si="5"/>
        <v>0</v>
      </c>
      <c r="T40" s="147">
        <f t="shared" si="5"/>
        <v>0</v>
      </c>
      <c r="U40" s="147">
        <f t="shared" si="5"/>
        <v>0</v>
      </c>
      <c r="V40" s="147">
        <f t="shared" si="5"/>
        <v>0</v>
      </c>
      <c r="W40" s="147">
        <f t="shared" si="5"/>
        <v>0</v>
      </c>
      <c r="X40" s="147">
        <f t="shared" si="5"/>
        <v>0</v>
      </c>
      <c r="Y40" s="148"/>
    </row>
    <row r="42" ht="15.75" customHeight="1"/>
    <row r="44" ht="15">
      <c r="E44" s="93"/>
    </row>
    <row r="45" ht="15">
      <c r="E45" s="93"/>
    </row>
    <row r="46" ht="15">
      <c r="E46" s="93"/>
    </row>
    <row r="47" ht="15">
      <c r="E47" s="93"/>
    </row>
    <row r="48" ht="15">
      <c r="E48" s="93"/>
    </row>
    <row r="49" ht="15">
      <c r="E49" s="93"/>
    </row>
    <row r="50" ht="15">
      <c r="E50" s="93"/>
    </row>
    <row r="51" spans="3:4" ht="15">
      <c r="C51" s="93"/>
      <c r="D51" s="93"/>
    </row>
    <row r="52" spans="3:4" ht="15">
      <c r="C52" s="93"/>
      <c r="D52" s="93"/>
    </row>
    <row r="53" spans="3:4" ht="15">
      <c r="C53" s="93"/>
      <c r="D53" s="93"/>
    </row>
    <row r="54" spans="3:4" ht="15">
      <c r="C54" s="93"/>
      <c r="D54" s="93"/>
    </row>
    <row r="55" spans="3:4" ht="15">
      <c r="C55" s="93"/>
      <c r="D55" s="93"/>
    </row>
    <row r="56" spans="3:4" ht="15">
      <c r="C56" s="93"/>
      <c r="D56" s="93"/>
    </row>
    <row r="57" spans="3:4" ht="15">
      <c r="C57" s="93"/>
      <c r="D57" s="93"/>
    </row>
  </sheetData>
  <sheetProtection password="CFB3" sheet="1" objects="1" scenarios="1"/>
  <printOptions/>
  <pageMargins left="0.75" right="0.75" top="1" bottom="1" header="0.3" footer="0.3"/>
  <pageSetup horizontalDpi="600" verticalDpi="600" orientation="portrait"/>
</worksheet>
</file>

<file path=xl/worksheets/sheet19.xml><?xml version="1.0" encoding="utf-8"?>
<worksheet xmlns="http://schemas.openxmlformats.org/spreadsheetml/2006/main" xmlns:r="http://schemas.openxmlformats.org/officeDocument/2006/relationships">
  <sheetPr codeName="Sheet19">
    <tabColor theme="9" tint="0.7999799847602844"/>
  </sheetPr>
  <dimension ref="B3:AA57"/>
  <sheetViews>
    <sheetView zoomScale="90" zoomScaleNormal="90" zoomScalePageLayoutView="0" workbookViewId="0" topLeftCell="A22">
      <selection activeCell="B49" sqref="B49"/>
    </sheetView>
  </sheetViews>
  <sheetFormatPr defaultColWidth="10.28125" defaultRowHeight="15"/>
  <cols>
    <col min="1" max="1" width="7.28125" style="76" customWidth="1"/>
    <col min="2" max="2" width="27.421875" style="76" bestFit="1" customWidth="1"/>
    <col min="3" max="3" width="10.421875" style="76" bestFit="1" customWidth="1"/>
    <col min="4" max="4" width="10.28125" style="76" customWidth="1"/>
    <col min="5" max="5" width="14.7109375" style="76" customWidth="1"/>
    <col min="6" max="6" width="11.421875" style="76" bestFit="1" customWidth="1"/>
    <col min="7" max="7" width="10.140625" style="76" bestFit="1" customWidth="1"/>
    <col min="8" max="9" width="10.8515625" style="76" bestFit="1" customWidth="1"/>
    <col min="10" max="11" width="10.00390625" style="76" bestFit="1" customWidth="1"/>
    <col min="12" max="14" width="11.00390625" style="76" customWidth="1"/>
    <col min="15" max="24" width="10.00390625" style="76" customWidth="1"/>
    <col min="25" max="25" width="4.7109375" style="76" customWidth="1"/>
    <col min="26" max="16384" width="10.28125" style="76" customWidth="1"/>
  </cols>
  <sheetData>
    <row r="2" ht="15.75" thickBot="1"/>
    <row r="3" spans="2:25" ht="15.75" thickBot="1">
      <c r="B3" s="59" t="s">
        <v>99</v>
      </c>
      <c r="C3" s="46" t="s">
        <v>26</v>
      </c>
      <c r="D3" s="46">
        <v>0</v>
      </c>
      <c r="E3" s="46">
        <v>1</v>
      </c>
      <c r="F3" s="46">
        <f>E3+1</f>
        <v>2</v>
      </c>
      <c r="G3" s="46">
        <f aca="true" t="shared" si="0" ref="G3:X3">F3+1</f>
        <v>3</v>
      </c>
      <c r="H3" s="46">
        <f t="shared" si="0"/>
        <v>4</v>
      </c>
      <c r="I3" s="46">
        <f t="shared" si="0"/>
        <v>5</v>
      </c>
      <c r="J3" s="46">
        <f t="shared" si="0"/>
        <v>6</v>
      </c>
      <c r="K3" s="46">
        <f t="shared" si="0"/>
        <v>7</v>
      </c>
      <c r="L3" s="46">
        <f t="shared" si="0"/>
        <v>8</v>
      </c>
      <c r="M3" s="46">
        <f t="shared" si="0"/>
        <v>9</v>
      </c>
      <c r="N3" s="46">
        <f t="shared" si="0"/>
        <v>10</v>
      </c>
      <c r="O3" s="46">
        <f t="shared" si="0"/>
        <v>11</v>
      </c>
      <c r="P3" s="46">
        <f t="shared" si="0"/>
        <v>12</v>
      </c>
      <c r="Q3" s="46">
        <f t="shared" si="0"/>
        <v>13</v>
      </c>
      <c r="R3" s="46">
        <f t="shared" si="0"/>
        <v>14</v>
      </c>
      <c r="S3" s="46">
        <f t="shared" si="0"/>
        <v>15</v>
      </c>
      <c r="T3" s="46">
        <f t="shared" si="0"/>
        <v>16</v>
      </c>
      <c r="U3" s="46">
        <f t="shared" si="0"/>
        <v>17</v>
      </c>
      <c r="V3" s="46">
        <f t="shared" si="0"/>
        <v>18</v>
      </c>
      <c r="W3" s="46">
        <f t="shared" si="0"/>
        <v>19</v>
      </c>
      <c r="X3" s="46">
        <f t="shared" si="0"/>
        <v>20</v>
      </c>
      <c r="Y3" s="47"/>
    </row>
    <row r="4" spans="2:25" ht="15">
      <c r="B4" s="10"/>
      <c r="C4" s="140"/>
      <c r="D4" s="128"/>
      <c r="E4" s="141"/>
      <c r="F4" s="141"/>
      <c r="G4" s="141"/>
      <c r="H4" s="141"/>
      <c r="I4" s="141"/>
      <c r="J4" s="141"/>
      <c r="K4" s="141"/>
      <c r="L4" s="141"/>
      <c r="M4" s="141"/>
      <c r="N4" s="141"/>
      <c r="O4" s="141"/>
      <c r="P4" s="141"/>
      <c r="Q4" s="141"/>
      <c r="R4" s="141"/>
      <c r="S4" s="141"/>
      <c r="T4" s="141"/>
      <c r="U4" s="141"/>
      <c r="V4" s="141"/>
      <c r="W4" s="141"/>
      <c r="X4" s="141"/>
      <c r="Y4" s="142"/>
    </row>
    <row r="5" spans="2:25" ht="15">
      <c r="B5" s="10" t="s">
        <v>168</v>
      </c>
      <c r="C5" s="140"/>
      <c r="D5" s="128"/>
      <c r="E5" s="141"/>
      <c r="F5" s="141"/>
      <c r="G5" s="141"/>
      <c r="H5" s="141"/>
      <c r="I5" s="141"/>
      <c r="J5" s="141"/>
      <c r="K5" s="141"/>
      <c r="L5" s="141"/>
      <c r="M5" s="141"/>
      <c r="N5" s="141"/>
      <c r="O5" s="141"/>
      <c r="P5" s="141"/>
      <c r="Q5" s="141"/>
      <c r="R5" s="141"/>
      <c r="S5" s="141"/>
      <c r="T5" s="141"/>
      <c r="U5" s="141"/>
      <c r="V5" s="141"/>
      <c r="W5" s="141"/>
      <c r="X5" s="141"/>
      <c r="Y5" s="142"/>
    </row>
    <row r="6" spans="2:25" ht="15">
      <c r="B6" s="39" t="s">
        <v>36</v>
      </c>
      <c r="C6" s="140"/>
      <c r="D6" s="128"/>
      <c r="E6" s="144">
        <f ca="1">OFFSET('Con Calculations'!$C$45,E3-1,0,,)</f>
        <v>0</v>
      </c>
      <c r="F6" s="144">
        <f ca="1">OFFSET('Con Calculations'!$C$45,F3-1,0,,)</f>
        <v>0</v>
      </c>
      <c r="G6" s="144">
        <f ca="1">OFFSET('Con Calculations'!$C$45,G3-1,0,,)</f>
        <v>0</v>
      </c>
      <c r="H6" s="144">
        <f ca="1">OFFSET('Con Calculations'!$C$45,H3-1,0,,)</f>
        <v>0</v>
      </c>
      <c r="I6" s="144">
        <f ca="1">OFFSET('Con Calculations'!$C$45,I3-1,0,,)</f>
        <v>0</v>
      </c>
      <c r="J6" s="144">
        <f ca="1">OFFSET('Con Calculations'!$C$45,J3-1,0,,)</f>
        <v>0</v>
      </c>
      <c r="K6" s="144">
        <f ca="1">OFFSET('Con Calculations'!$C$45,K3-1,0,,)</f>
        <v>0</v>
      </c>
      <c r="L6" s="144">
        <f ca="1">OFFSET('Con Calculations'!$C$45,L3-1,0,,)</f>
        <v>0</v>
      </c>
      <c r="M6" s="144">
        <f ca="1">OFFSET('Con Calculations'!$C$45,M3-1,0,,)</f>
        <v>374130.4347826087</v>
      </c>
      <c r="N6" s="144">
        <f ca="1">OFFSET('Con Calculations'!$C$45,N3-1,0,,)</f>
        <v>0</v>
      </c>
      <c r="O6" s="144">
        <f ca="1">OFFSET('Con Calculations'!$C$45,O3-1,0,,)</f>
        <v>0</v>
      </c>
      <c r="P6" s="144">
        <f ca="1">OFFSET('Con Calculations'!$C$45,P3-1,0,,)</f>
        <v>0</v>
      </c>
      <c r="Q6" s="144">
        <f ca="1">OFFSET('Con Calculations'!$C$45,Q3-1,0,,)</f>
        <v>0</v>
      </c>
      <c r="R6" s="144">
        <f ca="1">OFFSET('Con Calculations'!$C$45,R3-1,0,,)</f>
        <v>0</v>
      </c>
      <c r="S6" s="144">
        <f ca="1">OFFSET('Con Calculations'!$C$45,S3-1,0,,)</f>
        <v>0</v>
      </c>
      <c r="T6" s="144">
        <f ca="1">OFFSET('Con Calculations'!$C$45,T3-1,0,,)</f>
        <v>0</v>
      </c>
      <c r="U6" s="144">
        <f ca="1">OFFSET('Con Calculations'!$C$45,U3-1,0,,)</f>
        <v>0</v>
      </c>
      <c r="V6" s="144">
        <f ca="1">OFFSET('Con Calculations'!$C$45,V3-1,0,,)</f>
        <v>0</v>
      </c>
      <c r="W6" s="144">
        <f ca="1">OFFSET('Con Calculations'!$C$45,W3-1,0,,)</f>
        <v>0</v>
      </c>
      <c r="X6" s="144">
        <f ca="1">OFFSET('Con Calculations'!$C$45,X3-1,0,,)</f>
        <v>0</v>
      </c>
      <c r="Y6" s="143"/>
    </row>
    <row r="7" spans="2:25" ht="15">
      <c r="B7" s="39"/>
      <c r="C7" s="140"/>
      <c r="D7" s="128"/>
      <c r="E7" s="144"/>
      <c r="F7" s="144"/>
      <c r="G7" s="144"/>
      <c r="H7" s="144"/>
      <c r="I7" s="144"/>
      <c r="J7" s="144"/>
      <c r="K7" s="144"/>
      <c r="L7" s="144"/>
      <c r="M7" s="144"/>
      <c r="N7" s="144"/>
      <c r="O7" s="144"/>
      <c r="P7" s="144"/>
      <c r="Q7" s="144"/>
      <c r="R7" s="144"/>
      <c r="S7" s="144"/>
      <c r="T7" s="144"/>
      <c r="U7" s="144"/>
      <c r="V7" s="144"/>
      <c r="W7" s="144"/>
      <c r="X7" s="144"/>
      <c r="Y7" s="143"/>
    </row>
    <row r="8" spans="2:25" ht="15">
      <c r="B8" s="10" t="s">
        <v>169</v>
      </c>
      <c r="C8" s="140"/>
      <c r="D8" s="128"/>
      <c r="E8" s="141"/>
      <c r="F8" s="141"/>
      <c r="G8" s="141"/>
      <c r="H8" s="141"/>
      <c r="I8" s="141"/>
      <c r="J8" s="141"/>
      <c r="K8" s="141"/>
      <c r="L8" s="141"/>
      <c r="M8" s="141"/>
      <c r="N8" s="141"/>
      <c r="O8" s="141"/>
      <c r="P8" s="141"/>
      <c r="Q8" s="141"/>
      <c r="R8" s="141"/>
      <c r="S8" s="141"/>
      <c r="T8" s="141"/>
      <c r="U8" s="141"/>
      <c r="V8" s="141"/>
      <c r="W8" s="141"/>
      <c r="X8" s="141"/>
      <c r="Y8" s="142"/>
    </row>
    <row r="9" spans="2:25" ht="15">
      <c r="B9" s="39" t="s">
        <v>175</v>
      </c>
      <c r="C9" s="140"/>
      <c r="D9" s="128"/>
      <c r="E9" s="144">
        <f ca="1">('Lot Price Calculation'!$D$12+'Lot Price Calculation'!$D$20)*OFFSET('Con Financing'!$G$15,E3-1,0,,)</f>
        <v>38496.94045162386</v>
      </c>
      <c r="F9" s="144">
        <f ca="1">('Lot Price Calculation'!$D$12+'Lot Price Calculation'!$D$20)*OFFSET('Con Financing'!$G$15,F3-1,0,,)</f>
        <v>47131.768216474076</v>
      </c>
      <c r="G9" s="144">
        <f ca="1">('Lot Price Calculation'!$D$12+'Lot Price Calculation'!$D$20)*OFFSET('Con Financing'!$G$15,G3-1,0,,)</f>
        <v>47131.768216474076</v>
      </c>
      <c r="H9" s="144">
        <f ca="1">('Lot Price Calculation'!$D$12+'Lot Price Calculation'!$D$20)*OFFSET('Con Financing'!$G$15,H3-1,0,,)</f>
        <v>47131.768216474076</v>
      </c>
      <c r="I9" s="144">
        <f ca="1">('Lot Price Calculation'!$D$12+'Lot Price Calculation'!$D$20)*OFFSET('Con Financing'!$G$15,I3-1,0,,)</f>
        <v>47131.768216474076</v>
      </c>
      <c r="J9" s="144">
        <f ca="1">('Lot Price Calculation'!$D$12+'Lot Price Calculation'!$D$20)*OFFSET('Con Financing'!$G$15,J3-1,0,,)</f>
        <v>47131.768216474076</v>
      </c>
      <c r="K9" s="144">
        <f ca="1">('Lot Price Calculation'!$D$12+'Lot Price Calculation'!$D$20)*OFFSET('Con Financing'!$G$15,K3-1,0,,)</f>
        <v>47131.768216474076</v>
      </c>
      <c r="L9" s="144">
        <f ca="1">('Lot Price Calculation'!$D$12+'Lot Price Calculation'!$D$20)*OFFSET('Con Financing'!$G$15,L3-1,0,,)</f>
        <v>0</v>
      </c>
      <c r="M9" s="144">
        <f ca="1">('Lot Price Calculation'!$D$12+'Lot Price Calculation'!$D$20)*OFFSET('Con Financing'!$G$15,M3-1,0,,)</f>
        <v>0</v>
      </c>
      <c r="N9" s="144">
        <f ca="1">('Lot Price Calculation'!$D$12+'Lot Price Calculation'!$D$20)*OFFSET('Con Financing'!$G$15,N3-1,0,,)</f>
        <v>0</v>
      </c>
      <c r="O9" s="144">
        <f ca="1">('Lot Price Calculation'!$D$12+'Lot Price Calculation'!$D$20)*OFFSET('Con Financing'!$G$15,O3-1,0,,)</f>
        <v>0</v>
      </c>
      <c r="P9" s="144">
        <f ca="1">('Lot Price Calculation'!$D$12+'Lot Price Calculation'!$D$20)*OFFSET('Con Financing'!$G$15,P3-1,0,,)</f>
        <v>0</v>
      </c>
      <c r="Q9" s="144">
        <f ca="1">('Lot Price Calculation'!$D$12+'Lot Price Calculation'!$D$20)*OFFSET('Con Financing'!$G$15,Q3-1,0,,)</f>
        <v>0</v>
      </c>
      <c r="R9" s="144">
        <f ca="1">('Lot Price Calculation'!$D$12+'Lot Price Calculation'!$D$20)*OFFSET('Con Financing'!$G$15,R3-1,0,,)</f>
        <v>0</v>
      </c>
      <c r="S9" s="144">
        <f ca="1">('Lot Price Calculation'!$D$12+'Lot Price Calculation'!$D$20)*OFFSET('Con Financing'!$G$15,S3-1,0,,)</f>
        <v>0</v>
      </c>
      <c r="T9" s="144">
        <f ca="1">('Lot Price Calculation'!$D$12+'Lot Price Calculation'!$D$20)*OFFSET('Con Financing'!$G$15,T3-1,0,,)</f>
        <v>0</v>
      </c>
      <c r="U9" s="144">
        <f ca="1">('Lot Price Calculation'!$D$12+'Lot Price Calculation'!$D$20)*OFFSET('Con Financing'!$G$15,U3-1,0,,)</f>
        <v>0</v>
      </c>
      <c r="V9" s="144">
        <f ca="1">('Lot Price Calculation'!$D$12+'Lot Price Calculation'!$D$20)*OFFSET('Con Financing'!$G$15,V3-1,0,,)</f>
        <v>0</v>
      </c>
      <c r="W9" s="144">
        <f ca="1">('Lot Price Calculation'!$D$12+'Lot Price Calculation'!$D$20)*OFFSET('Con Financing'!$G$15,W3-1,0,,)</f>
        <v>0</v>
      </c>
      <c r="X9" s="144">
        <f ca="1">('Lot Price Calculation'!$D$12+'Lot Price Calculation'!$D$20)*OFFSET('Con Financing'!$G$15,X3-1,0,,)</f>
        <v>0</v>
      </c>
      <c r="Y9" s="143"/>
    </row>
    <row r="10" spans="2:25" ht="15">
      <c r="B10" s="39" t="s">
        <v>50</v>
      </c>
      <c r="C10" s="140"/>
      <c r="D10" s="128"/>
      <c r="E10" s="144">
        <f ca="1">OFFSET('Con Calculations'!$E$45,E3-1,0,,)</f>
        <v>600</v>
      </c>
      <c r="F10" s="144">
        <f ca="1">OFFSET('Con Calculations'!$E$45,F3-1,0,,)</f>
        <v>600</v>
      </c>
      <c r="G10" s="144">
        <f ca="1">OFFSET('Con Calculations'!$E$45,G3-1,0,,)</f>
        <v>600</v>
      </c>
      <c r="H10" s="144">
        <f ca="1">OFFSET('Con Calculations'!$E$45,H3-1,0,,)</f>
        <v>600</v>
      </c>
      <c r="I10" s="144">
        <f ca="1">OFFSET('Con Calculations'!$E$45,I3-1,0,,)</f>
        <v>600</v>
      </c>
      <c r="J10" s="144">
        <f ca="1">OFFSET('Con Calculations'!$E$45,J3-1,0,,)</f>
        <v>600</v>
      </c>
      <c r="K10" s="144">
        <f ca="1">OFFSET('Con Calculations'!$E$45,K3-1,0,,)</f>
        <v>600</v>
      </c>
      <c r="L10" s="144">
        <f ca="1">OFFSET('Con Calculations'!$E$45,L3-1,0,,)</f>
        <v>600</v>
      </c>
      <c r="M10" s="144">
        <f ca="1">OFFSET('Con Calculations'!$E$45,M3-1,0,,)</f>
        <v>600</v>
      </c>
      <c r="N10" s="144">
        <f ca="1">OFFSET('Con Calculations'!$E$45,N3-1,0,,)</f>
        <v>0</v>
      </c>
      <c r="O10" s="144">
        <f ca="1">OFFSET('Con Calculations'!$E$45,O3-1,0,,)</f>
        <v>0</v>
      </c>
      <c r="P10" s="144">
        <f ca="1">OFFSET('Con Calculations'!$E$45,P3-1,0,,)</f>
        <v>0</v>
      </c>
      <c r="Q10" s="144">
        <f ca="1">OFFSET('Con Calculations'!$E$45,Q3-1,0,,)</f>
        <v>0</v>
      </c>
      <c r="R10" s="144">
        <f ca="1">OFFSET('Con Calculations'!$E$45,R3-1,0,,)</f>
        <v>0</v>
      </c>
      <c r="S10" s="144">
        <f ca="1">OFFSET('Con Calculations'!$E$45,S3-1,0,,)</f>
        <v>0</v>
      </c>
      <c r="T10" s="144">
        <f ca="1">OFFSET('Con Calculations'!$E$45,T3-1,0,,)</f>
        <v>0</v>
      </c>
      <c r="U10" s="144">
        <f ca="1">OFFSET('Con Calculations'!$E$45,U3-1,0,,)</f>
        <v>0</v>
      </c>
      <c r="V10" s="144">
        <f ca="1">OFFSET('Con Calculations'!$E$45,V3-1,0,,)</f>
        <v>0</v>
      </c>
      <c r="W10" s="144">
        <f ca="1">OFFSET('Con Calculations'!$E$45,W3-1,0,,)</f>
        <v>0</v>
      </c>
      <c r="X10" s="144">
        <f ca="1">OFFSET('Con Calculations'!$E$45,X3-1,0,,)</f>
        <v>0</v>
      </c>
      <c r="Y10" s="143"/>
    </row>
    <row r="11" spans="2:27" ht="15">
      <c r="B11" s="39"/>
      <c r="C11" s="140"/>
      <c r="D11" s="128"/>
      <c r="E11" s="144"/>
      <c r="F11" s="144"/>
      <c r="G11" s="144"/>
      <c r="H11" s="144"/>
      <c r="I11" s="144"/>
      <c r="J11" s="144"/>
      <c r="K11" s="144"/>
      <c r="L11" s="144"/>
      <c r="M11" s="144"/>
      <c r="N11" s="144"/>
      <c r="O11" s="144"/>
      <c r="P11" s="144"/>
      <c r="Q11" s="144"/>
      <c r="R11" s="144"/>
      <c r="S11" s="144"/>
      <c r="T11" s="144"/>
      <c r="U11" s="144"/>
      <c r="V11" s="144"/>
      <c r="W11" s="144"/>
      <c r="X11" s="144"/>
      <c r="Y11" s="142"/>
      <c r="AA11" s="153"/>
    </row>
    <row r="12" spans="2:25" ht="15">
      <c r="B12" s="10" t="s">
        <v>171</v>
      </c>
      <c r="C12" s="140"/>
      <c r="D12" s="128"/>
      <c r="E12" s="141"/>
      <c r="F12" s="141"/>
      <c r="G12" s="141"/>
      <c r="H12" s="141"/>
      <c r="I12" s="141"/>
      <c r="J12" s="141"/>
      <c r="K12" s="141"/>
      <c r="L12" s="141"/>
      <c r="M12" s="141"/>
      <c r="N12" s="141"/>
      <c r="O12" s="141"/>
      <c r="P12" s="141"/>
      <c r="Q12" s="141"/>
      <c r="R12" s="141"/>
      <c r="S12" s="141"/>
      <c r="T12" s="141"/>
      <c r="U12" s="141"/>
      <c r="V12" s="141"/>
      <c r="W12" s="141"/>
      <c r="X12" s="141"/>
      <c r="Y12" s="142"/>
    </row>
    <row r="13" spans="2:25" ht="15">
      <c r="B13" s="39" t="s">
        <v>38</v>
      </c>
      <c r="C13" s="140"/>
      <c r="D13" s="128"/>
      <c r="E13" s="139">
        <f>E9*'Con Financing'!$E$5</f>
        <v>30797.552361299087</v>
      </c>
      <c r="F13" s="139">
        <f>F9*'Con Financing'!$E$5</f>
        <v>37705.41457317926</v>
      </c>
      <c r="G13" s="139">
        <f>G9*'Con Financing'!$E$5</f>
        <v>37705.41457317926</v>
      </c>
      <c r="H13" s="139">
        <f>H9*'Con Financing'!$E$5</f>
        <v>37705.41457317926</v>
      </c>
      <c r="I13" s="139">
        <f>I9*'Con Financing'!$E$5</f>
        <v>37705.41457317926</v>
      </c>
      <c r="J13" s="139">
        <f>J9*'Con Financing'!$E$5</f>
        <v>37705.41457317926</v>
      </c>
      <c r="K13" s="139">
        <f>K9*'Con Financing'!$E$5</f>
        <v>37705.41457317926</v>
      </c>
      <c r="L13" s="139">
        <f>L9*'Con Financing'!$E$5</f>
        <v>0</v>
      </c>
      <c r="M13" s="139">
        <f>M9*'Con Financing'!$E$5</f>
        <v>0</v>
      </c>
      <c r="N13" s="139">
        <f>N9*'Con Financing'!$E$5</f>
        <v>0</v>
      </c>
      <c r="O13" s="139">
        <f>O9*'Con Financing'!$E$5</f>
        <v>0</v>
      </c>
      <c r="P13" s="139">
        <f>P9*'Con Financing'!$E$5</f>
        <v>0</v>
      </c>
      <c r="Q13" s="139">
        <f>Q9*'Con Financing'!$E$5</f>
        <v>0</v>
      </c>
      <c r="R13" s="139">
        <f>R9*'Con Financing'!$E$5</f>
        <v>0</v>
      </c>
      <c r="S13" s="139">
        <f>S9*'Con Financing'!$E$5</f>
        <v>0</v>
      </c>
      <c r="T13" s="139">
        <f>T9*'Con Financing'!$E$5</f>
        <v>0</v>
      </c>
      <c r="U13" s="139">
        <f>U9*'Con Financing'!$E$5</f>
        <v>0</v>
      </c>
      <c r="V13" s="139">
        <f>V9*'Con Financing'!$E$5</f>
        <v>0</v>
      </c>
      <c r="W13" s="139">
        <f>W9*'Con Financing'!$E$5</f>
        <v>0</v>
      </c>
      <c r="X13" s="139">
        <f>X9*'Con Financing'!$E$5</f>
        <v>0</v>
      </c>
      <c r="Y13" s="145"/>
    </row>
    <row r="14" spans="2:25" ht="15">
      <c r="B14" s="39" t="s">
        <v>102</v>
      </c>
      <c r="C14" s="140"/>
      <c r="D14" s="128"/>
      <c r="E14" s="139">
        <f>SUM(E13:X13)*'Con Financing'!E8</f>
        <v>2570.300398003747</v>
      </c>
      <c r="F14" s="139">
        <v>0</v>
      </c>
      <c r="G14" s="139">
        <v>0</v>
      </c>
      <c r="H14" s="139">
        <v>0</v>
      </c>
      <c r="I14" s="139">
        <v>0</v>
      </c>
      <c r="J14" s="139">
        <v>0</v>
      </c>
      <c r="K14" s="139">
        <v>0</v>
      </c>
      <c r="L14" s="139">
        <v>0</v>
      </c>
      <c r="M14" s="139">
        <v>0</v>
      </c>
      <c r="N14" s="139">
        <v>0</v>
      </c>
      <c r="O14" s="139">
        <v>0</v>
      </c>
      <c r="P14" s="139">
        <v>0</v>
      </c>
      <c r="Q14" s="139">
        <v>0</v>
      </c>
      <c r="R14" s="139">
        <v>0</v>
      </c>
      <c r="S14" s="139">
        <v>0</v>
      </c>
      <c r="T14" s="139">
        <v>0</v>
      </c>
      <c r="U14" s="139">
        <v>0</v>
      </c>
      <c r="V14" s="139">
        <v>0</v>
      </c>
      <c r="W14" s="139">
        <v>0</v>
      </c>
      <c r="X14" s="139">
        <v>0</v>
      </c>
      <c r="Y14" s="142"/>
    </row>
    <row r="15" spans="2:25" ht="15">
      <c r="B15" s="39" t="s">
        <v>39</v>
      </c>
      <c r="C15" s="140"/>
      <c r="D15" s="128"/>
      <c r="E15" s="139">
        <f>IF(E6&gt;0,SUM($E13:$X13),0)</f>
        <v>0</v>
      </c>
      <c r="F15" s="139">
        <f aca="true" t="shared" si="1" ref="F15:X15">IF(F6&gt;0,SUM($E13:$X13),0)</f>
        <v>0</v>
      </c>
      <c r="G15" s="139">
        <f t="shared" si="1"/>
        <v>0</v>
      </c>
      <c r="H15" s="139">
        <f t="shared" si="1"/>
        <v>0</v>
      </c>
      <c r="I15" s="139">
        <f t="shared" si="1"/>
        <v>0</v>
      </c>
      <c r="J15" s="139">
        <f t="shared" si="1"/>
        <v>0</v>
      </c>
      <c r="K15" s="139">
        <f t="shared" si="1"/>
        <v>0</v>
      </c>
      <c r="L15" s="139">
        <f t="shared" si="1"/>
        <v>0</v>
      </c>
      <c r="M15" s="139">
        <f t="shared" si="1"/>
        <v>257030.03980037468</v>
      </c>
      <c r="N15" s="139">
        <f t="shared" si="1"/>
        <v>0</v>
      </c>
      <c r="O15" s="139">
        <f t="shared" si="1"/>
        <v>0</v>
      </c>
      <c r="P15" s="139">
        <f t="shared" si="1"/>
        <v>0</v>
      </c>
      <c r="Q15" s="139">
        <f t="shared" si="1"/>
        <v>0</v>
      </c>
      <c r="R15" s="139">
        <f t="shared" si="1"/>
        <v>0</v>
      </c>
      <c r="S15" s="139">
        <f t="shared" si="1"/>
        <v>0</v>
      </c>
      <c r="T15" s="139">
        <f t="shared" si="1"/>
        <v>0</v>
      </c>
      <c r="U15" s="139">
        <f t="shared" si="1"/>
        <v>0</v>
      </c>
      <c r="V15" s="139">
        <f t="shared" si="1"/>
        <v>0</v>
      </c>
      <c r="W15" s="139">
        <f t="shared" si="1"/>
        <v>0</v>
      </c>
      <c r="X15" s="139">
        <f t="shared" si="1"/>
        <v>0</v>
      </c>
      <c r="Y15" s="145"/>
    </row>
    <row r="16" spans="2:25" ht="15">
      <c r="B16" s="39" t="s">
        <v>174</v>
      </c>
      <c r="C16" s="140"/>
      <c r="D16" s="128"/>
      <c r="E16" s="139">
        <f>'Lot Price Calculation'!$E$6*E15</f>
        <v>0</v>
      </c>
      <c r="F16" s="139">
        <f>'Lot Price Calculation'!$E$6*F15</f>
        <v>0</v>
      </c>
      <c r="G16" s="139">
        <f>'Lot Price Calculation'!$E$6*G15</f>
        <v>0</v>
      </c>
      <c r="H16" s="139">
        <f>'Lot Price Calculation'!$E$6*H15</f>
        <v>0</v>
      </c>
      <c r="I16" s="139">
        <f>'Lot Price Calculation'!$E$6*I15</f>
        <v>0</v>
      </c>
      <c r="J16" s="139">
        <f>'Lot Price Calculation'!$E$6*J15</f>
        <v>0</v>
      </c>
      <c r="K16" s="139">
        <f>'Lot Price Calculation'!$E$6*K15</f>
        <v>0</v>
      </c>
      <c r="L16" s="139">
        <f>'Lot Price Calculation'!$E$6*L15</f>
        <v>0</v>
      </c>
      <c r="M16" s="139">
        <f>'Lot Price Calculation'!$E$6*M15</f>
        <v>4840.6281123975095</v>
      </c>
      <c r="N16" s="139">
        <f>'Lot Price Calculation'!$E$6*N15</f>
        <v>0</v>
      </c>
      <c r="O16" s="139">
        <f>'Lot Price Calculation'!$E$6*O15</f>
        <v>0</v>
      </c>
      <c r="P16" s="139">
        <f>'Lot Price Calculation'!$E$6*P15</f>
        <v>0</v>
      </c>
      <c r="Q16" s="139">
        <f>'Lot Price Calculation'!$E$6*Q15</f>
        <v>0</v>
      </c>
      <c r="R16" s="139">
        <f>'Lot Price Calculation'!$E$6*R15</f>
        <v>0</v>
      </c>
      <c r="S16" s="139">
        <f>'Lot Price Calculation'!$E$6*S15</f>
        <v>0</v>
      </c>
      <c r="T16" s="139">
        <f>'Lot Price Calculation'!$E$6*T15</f>
        <v>0</v>
      </c>
      <c r="U16" s="139">
        <f>'Lot Price Calculation'!$E$6*U15</f>
        <v>0</v>
      </c>
      <c r="V16" s="139">
        <f>'Lot Price Calculation'!$E$6*V15</f>
        <v>0</v>
      </c>
      <c r="W16" s="139">
        <f>'Lot Price Calculation'!$E$6*W15</f>
        <v>0</v>
      </c>
      <c r="X16" s="139">
        <f>'Lot Price Calculation'!$E$6*X15</f>
        <v>0</v>
      </c>
      <c r="Y16" s="145"/>
    </row>
    <row r="17" spans="2:25" ht="15">
      <c r="B17" s="39"/>
      <c r="C17" s="140"/>
      <c r="D17" s="128"/>
      <c r="E17" s="139"/>
      <c r="F17" s="139"/>
      <c r="G17" s="139"/>
      <c r="H17" s="139"/>
      <c r="I17" s="139"/>
      <c r="J17" s="139"/>
      <c r="K17" s="139"/>
      <c r="L17" s="139"/>
      <c r="M17" s="139"/>
      <c r="N17" s="139"/>
      <c r="O17" s="139"/>
      <c r="P17" s="139"/>
      <c r="Q17" s="139"/>
      <c r="R17" s="139"/>
      <c r="S17" s="139"/>
      <c r="T17" s="139"/>
      <c r="U17" s="139"/>
      <c r="V17" s="139"/>
      <c r="W17" s="139"/>
      <c r="X17" s="139"/>
      <c r="Y17" s="145"/>
    </row>
    <row r="18" spans="2:25" ht="15">
      <c r="B18" s="39" t="s">
        <v>210</v>
      </c>
      <c r="C18" s="140"/>
      <c r="D18" s="129">
        <f>(1-'Lot Price Calculation'!E5)*('Lot Price Calculation'!D12+'Lot Price Calculation'!D20)+SUM(E10:Y10)+SUM(E14:X14)</f>
        <v>72227.81034809738</v>
      </c>
      <c r="E18" s="139"/>
      <c r="F18" s="139"/>
      <c r="G18" s="139"/>
      <c r="H18" s="139"/>
      <c r="I18" s="139"/>
      <c r="J18" s="139"/>
      <c r="K18" s="139"/>
      <c r="L18" s="139"/>
      <c r="M18" s="139"/>
      <c r="N18" s="139"/>
      <c r="O18" s="139"/>
      <c r="P18" s="139"/>
      <c r="Q18" s="139"/>
      <c r="R18" s="139"/>
      <c r="S18" s="139"/>
      <c r="T18" s="139"/>
      <c r="U18" s="139"/>
      <c r="V18" s="139"/>
      <c r="W18" s="139"/>
      <c r="X18" s="139"/>
      <c r="Y18" s="145"/>
    </row>
    <row r="19" spans="2:25" ht="15">
      <c r="B19" s="39"/>
      <c r="C19" s="140"/>
      <c r="D19" s="128"/>
      <c r="E19" s="141"/>
      <c r="F19" s="141"/>
      <c r="G19" s="141"/>
      <c r="H19" s="141"/>
      <c r="I19" s="141"/>
      <c r="J19" s="141"/>
      <c r="K19" s="141"/>
      <c r="L19" s="141"/>
      <c r="M19" s="141"/>
      <c r="N19" s="141"/>
      <c r="O19" s="141"/>
      <c r="P19" s="141"/>
      <c r="Q19" s="141"/>
      <c r="R19" s="141"/>
      <c r="S19" s="141"/>
      <c r="T19" s="141"/>
      <c r="U19" s="141"/>
      <c r="V19" s="141"/>
      <c r="W19" s="141"/>
      <c r="X19" s="141"/>
      <c r="Y19" s="142"/>
    </row>
    <row r="20" spans="2:25" ht="15.75" thickBot="1">
      <c r="B20" s="32" t="s">
        <v>172</v>
      </c>
      <c r="C20" s="146"/>
      <c r="D20" s="132">
        <f>D18</f>
        <v>72227.81034809738</v>
      </c>
      <c r="E20" s="147">
        <f aca="true" t="shared" si="2" ref="E20:X20">E6+E13-E9-E10-E14-E15-E16</f>
        <v>-10869.688488328517</v>
      </c>
      <c r="F20" s="147">
        <f t="shared" si="2"/>
        <v>-10026.353643294817</v>
      </c>
      <c r="G20" s="147">
        <f t="shared" si="2"/>
        <v>-10026.353643294817</v>
      </c>
      <c r="H20" s="147">
        <f t="shared" si="2"/>
        <v>-10026.353643294817</v>
      </c>
      <c r="I20" s="147">
        <f t="shared" si="2"/>
        <v>-10026.353643294817</v>
      </c>
      <c r="J20" s="147">
        <f t="shared" si="2"/>
        <v>-10026.353643294817</v>
      </c>
      <c r="K20" s="147">
        <f t="shared" si="2"/>
        <v>-10026.353643294817</v>
      </c>
      <c r="L20" s="147">
        <f t="shared" si="2"/>
        <v>-600</v>
      </c>
      <c r="M20" s="147">
        <f t="shared" si="2"/>
        <v>111659.76686983652</v>
      </c>
      <c r="N20" s="147">
        <f t="shared" si="2"/>
        <v>0</v>
      </c>
      <c r="O20" s="147">
        <f t="shared" si="2"/>
        <v>0</v>
      </c>
      <c r="P20" s="147">
        <f t="shared" si="2"/>
        <v>0</v>
      </c>
      <c r="Q20" s="147">
        <f t="shared" si="2"/>
        <v>0</v>
      </c>
      <c r="R20" s="147">
        <f t="shared" si="2"/>
        <v>0</v>
      </c>
      <c r="S20" s="147">
        <f t="shared" si="2"/>
        <v>0</v>
      </c>
      <c r="T20" s="147">
        <f t="shared" si="2"/>
        <v>0</v>
      </c>
      <c r="U20" s="147">
        <f t="shared" si="2"/>
        <v>0</v>
      </c>
      <c r="V20" s="147">
        <f t="shared" si="2"/>
        <v>0</v>
      </c>
      <c r="W20" s="147">
        <f t="shared" si="2"/>
        <v>0</v>
      </c>
      <c r="X20" s="147">
        <f t="shared" si="2"/>
        <v>0</v>
      </c>
      <c r="Y20" s="148"/>
    </row>
    <row r="22" ht="15.75" thickBot="1"/>
    <row r="23" spans="2:25" ht="15.75" thickBot="1">
      <c r="B23" s="59" t="s">
        <v>99</v>
      </c>
      <c r="C23" s="46" t="s">
        <v>26</v>
      </c>
      <c r="D23" s="46">
        <v>0</v>
      </c>
      <c r="E23" s="46">
        <v>1</v>
      </c>
      <c r="F23" s="46">
        <f>E23+1</f>
        <v>2</v>
      </c>
      <c r="G23" s="46">
        <f aca="true" t="shared" si="3" ref="G23:X23">F23+1</f>
        <v>3</v>
      </c>
      <c r="H23" s="46">
        <f t="shared" si="3"/>
        <v>4</v>
      </c>
      <c r="I23" s="46">
        <f t="shared" si="3"/>
        <v>5</v>
      </c>
      <c r="J23" s="46">
        <f t="shared" si="3"/>
        <v>6</v>
      </c>
      <c r="K23" s="46">
        <f t="shared" si="3"/>
        <v>7</v>
      </c>
      <c r="L23" s="46">
        <f t="shared" si="3"/>
        <v>8</v>
      </c>
      <c r="M23" s="46">
        <f t="shared" si="3"/>
        <v>9</v>
      </c>
      <c r="N23" s="46">
        <f t="shared" si="3"/>
        <v>10</v>
      </c>
      <c r="O23" s="46">
        <f t="shared" si="3"/>
        <v>11</v>
      </c>
      <c r="P23" s="46">
        <f t="shared" si="3"/>
        <v>12</v>
      </c>
      <c r="Q23" s="46">
        <f t="shared" si="3"/>
        <v>13</v>
      </c>
      <c r="R23" s="46">
        <f t="shared" si="3"/>
        <v>14</v>
      </c>
      <c r="S23" s="46">
        <f t="shared" si="3"/>
        <v>15</v>
      </c>
      <c r="T23" s="46">
        <f t="shared" si="3"/>
        <v>16</v>
      </c>
      <c r="U23" s="46">
        <f t="shared" si="3"/>
        <v>17</v>
      </c>
      <c r="V23" s="46">
        <f t="shared" si="3"/>
        <v>18</v>
      </c>
      <c r="W23" s="46">
        <f t="shared" si="3"/>
        <v>19</v>
      </c>
      <c r="X23" s="46">
        <f t="shared" si="3"/>
        <v>20</v>
      </c>
      <c r="Y23" s="47"/>
    </row>
    <row r="24" spans="2:25" ht="15">
      <c r="B24" s="10"/>
      <c r="C24" s="140"/>
      <c r="D24" s="128"/>
      <c r="E24" s="141"/>
      <c r="F24" s="141"/>
      <c r="G24" s="141"/>
      <c r="H24" s="141"/>
      <c r="I24" s="141"/>
      <c r="J24" s="141"/>
      <c r="K24" s="141"/>
      <c r="L24" s="141"/>
      <c r="M24" s="141"/>
      <c r="N24" s="141"/>
      <c r="O24" s="141"/>
      <c r="P24" s="141"/>
      <c r="Q24" s="141"/>
      <c r="R24" s="141"/>
      <c r="S24" s="141"/>
      <c r="T24" s="141"/>
      <c r="U24" s="141"/>
      <c r="V24" s="141"/>
      <c r="W24" s="141"/>
      <c r="X24" s="141"/>
      <c r="Y24" s="142"/>
    </row>
    <row r="25" spans="2:25" ht="15">
      <c r="B25" s="10" t="s">
        <v>168</v>
      </c>
      <c r="C25" s="140"/>
      <c r="D25" s="128"/>
      <c r="E25" s="141"/>
      <c r="F25" s="141"/>
      <c r="G25" s="141"/>
      <c r="H25" s="141"/>
      <c r="I25" s="141"/>
      <c r="J25" s="141"/>
      <c r="K25" s="141"/>
      <c r="L25" s="141"/>
      <c r="M25" s="141"/>
      <c r="N25" s="141"/>
      <c r="O25" s="141"/>
      <c r="P25" s="141"/>
      <c r="Q25" s="141"/>
      <c r="R25" s="141"/>
      <c r="S25" s="141"/>
      <c r="T25" s="141"/>
      <c r="U25" s="141"/>
      <c r="V25" s="141"/>
      <c r="W25" s="141"/>
      <c r="X25" s="141"/>
      <c r="Y25" s="142"/>
    </row>
    <row r="26" spans="2:25" ht="15">
      <c r="B26" s="39" t="s">
        <v>36</v>
      </c>
      <c r="C26" s="140"/>
      <c r="D26" s="128"/>
      <c r="E26" s="144">
        <f ca="1">OFFSET('Con Calculations'!$L$45,E23-1,0,,)</f>
        <v>0</v>
      </c>
      <c r="F26" s="144">
        <f ca="1">OFFSET('Con Calculations'!$L$45,F23-1,0,,)</f>
        <v>0</v>
      </c>
      <c r="G26" s="144">
        <f ca="1">OFFSET('Con Calculations'!$L$45,G23-1,0,,)</f>
        <v>0</v>
      </c>
      <c r="H26" s="144">
        <f ca="1">OFFSET('Con Calculations'!$L$45,H23-1,0,,)</f>
        <v>0</v>
      </c>
      <c r="I26" s="144">
        <f ca="1">OFFSET('Con Calculations'!$L$45,I23-1,0,,)</f>
        <v>0</v>
      </c>
      <c r="J26" s="144">
        <f ca="1">OFFSET('Con Calculations'!$L$45,J23-1,0,,)</f>
        <v>0</v>
      </c>
      <c r="K26" s="144">
        <f ca="1">OFFSET('Con Calculations'!$L$45,K23-1,0,,)</f>
        <v>0</v>
      </c>
      <c r="L26" s="144">
        <f ca="1">OFFSET('Con Calculations'!$L$45,L23-1,0,,)</f>
        <v>0</v>
      </c>
      <c r="M26" s="144">
        <f ca="1">OFFSET('Con Calculations'!$L$45,M23-1,0,,)</f>
        <v>270000</v>
      </c>
      <c r="N26" s="144">
        <f ca="1">OFFSET('Con Calculations'!$L$45,N23-1,0,,)</f>
        <v>0</v>
      </c>
      <c r="O26" s="144">
        <f ca="1">OFFSET('Con Calculations'!$L$45,O23-1,0,,)</f>
        <v>0</v>
      </c>
      <c r="P26" s="144">
        <f ca="1">OFFSET('Con Calculations'!$L$45,P23-1,0,,)</f>
        <v>0</v>
      </c>
      <c r="Q26" s="144">
        <f ca="1">OFFSET('Con Calculations'!$L$45,Q23-1,0,,)</f>
        <v>0</v>
      </c>
      <c r="R26" s="144">
        <f ca="1">OFFSET('Con Calculations'!$L$45,R23-1,0,,)</f>
        <v>0</v>
      </c>
      <c r="S26" s="144">
        <f ca="1">OFFSET('Con Calculations'!$L$45,S23-1,0,,)</f>
        <v>0</v>
      </c>
      <c r="T26" s="144">
        <f ca="1">OFFSET('Con Calculations'!$L$45,T23-1,0,,)</f>
        <v>0</v>
      </c>
      <c r="U26" s="144">
        <f ca="1">OFFSET('Con Calculations'!$L$45,U23-1,0,,)</f>
        <v>0</v>
      </c>
      <c r="V26" s="144">
        <f ca="1">OFFSET('Con Calculations'!$L$45,V23-1,0,,)</f>
        <v>0</v>
      </c>
      <c r="W26" s="144">
        <f ca="1">OFFSET('Con Calculations'!$L$45,W23-1,0,,)</f>
        <v>0</v>
      </c>
      <c r="X26" s="144">
        <f ca="1">OFFSET('Con Calculations'!$L$45,X23-1,0,,)</f>
        <v>0</v>
      </c>
      <c r="Y26" s="143"/>
    </row>
    <row r="27" spans="2:25" ht="15">
      <c r="B27" s="39"/>
      <c r="C27" s="140"/>
      <c r="D27" s="128"/>
      <c r="E27" s="144"/>
      <c r="F27" s="144"/>
      <c r="G27" s="144"/>
      <c r="H27" s="144"/>
      <c r="I27" s="144"/>
      <c r="J27" s="144"/>
      <c r="K27" s="144"/>
      <c r="L27" s="144"/>
      <c r="M27" s="144"/>
      <c r="N27" s="144"/>
      <c r="O27" s="144"/>
      <c r="P27" s="144"/>
      <c r="Q27" s="144"/>
      <c r="R27" s="144"/>
      <c r="S27" s="144"/>
      <c r="T27" s="144"/>
      <c r="U27" s="144"/>
      <c r="V27" s="144"/>
      <c r="W27" s="144"/>
      <c r="X27" s="144"/>
      <c r="Y27" s="143"/>
    </row>
    <row r="28" spans="2:25" ht="15">
      <c r="B28" s="10" t="s">
        <v>169</v>
      </c>
      <c r="C28" s="140"/>
      <c r="D28" s="128"/>
      <c r="E28" s="141"/>
      <c r="F28" s="141"/>
      <c r="G28" s="141"/>
      <c r="H28" s="141"/>
      <c r="I28" s="141"/>
      <c r="J28" s="141"/>
      <c r="K28" s="141"/>
      <c r="L28" s="141"/>
      <c r="M28" s="141"/>
      <c r="N28" s="141"/>
      <c r="O28" s="141"/>
      <c r="P28" s="141"/>
      <c r="Q28" s="141"/>
      <c r="R28" s="141"/>
      <c r="S28" s="141"/>
      <c r="T28" s="141"/>
      <c r="U28" s="141"/>
      <c r="V28" s="141"/>
      <c r="W28" s="141"/>
      <c r="X28" s="141"/>
      <c r="Y28" s="142"/>
    </row>
    <row r="29" spans="2:25" ht="15">
      <c r="B29" s="39" t="s">
        <v>175</v>
      </c>
      <c r="C29" s="140"/>
      <c r="D29" s="128"/>
      <c r="E29" s="144">
        <f ca="1">('Lot Price Calculation'!$D$15+'Lot Price Calculation'!$D$21)*OFFSET('Con Financing'!$H$15,E23-1,0,,)</f>
        <v>27606.193621166218</v>
      </c>
      <c r="F29" s="144">
        <f ca="1">('Lot Price Calculation'!$D$15+'Lot Price Calculation'!$D$21)*OFFSET('Con Financing'!$H$15,F23-1,0,,)</f>
        <v>33798.23705021285</v>
      </c>
      <c r="G29" s="144">
        <f ca="1">('Lot Price Calculation'!$D$15+'Lot Price Calculation'!$D$21)*OFFSET('Con Financing'!$H$15,G23-1,0,,)</f>
        <v>33798.23705021285</v>
      </c>
      <c r="H29" s="144">
        <f ca="1">('Lot Price Calculation'!$D$15+'Lot Price Calculation'!$D$21)*OFFSET('Con Financing'!$H$15,H23-1,0,,)</f>
        <v>33798.23705021285</v>
      </c>
      <c r="I29" s="144">
        <f ca="1">('Lot Price Calculation'!$D$15+'Lot Price Calculation'!$D$21)*OFFSET('Con Financing'!$H$15,I23-1,0,,)</f>
        <v>33798.23705021285</v>
      </c>
      <c r="J29" s="144">
        <f ca="1">('Lot Price Calculation'!$D$15+'Lot Price Calculation'!$D$21)*OFFSET('Con Financing'!$H$15,J23-1,0,,)</f>
        <v>33798.23705021285</v>
      </c>
      <c r="K29" s="144">
        <f ca="1">('Lot Price Calculation'!$D$15+'Lot Price Calculation'!$D$21)*OFFSET('Con Financing'!$H$15,K23-1,0,,)</f>
        <v>33798.23705021285</v>
      </c>
      <c r="L29" s="144">
        <f ca="1">('Lot Price Calculation'!$D$15+'Lot Price Calculation'!$D$21)*OFFSET('Con Financing'!$H$15,L23-1,0,,)</f>
        <v>0</v>
      </c>
      <c r="M29" s="144">
        <f ca="1">('Lot Price Calculation'!$D$15+'Lot Price Calculation'!$D$21)*OFFSET('Con Financing'!$H$15,M23-1,0,,)</f>
        <v>0</v>
      </c>
      <c r="N29" s="144">
        <f ca="1">('Lot Price Calculation'!$D$15+'Lot Price Calculation'!$D$21)*OFFSET('Con Financing'!$H$15,N23-1,0,,)</f>
        <v>0</v>
      </c>
      <c r="O29" s="144">
        <f ca="1">('Lot Price Calculation'!$D$15+'Lot Price Calculation'!$D$21)*OFFSET('Con Financing'!$H$15,O23-1,0,,)</f>
        <v>0</v>
      </c>
      <c r="P29" s="144">
        <f ca="1">('Lot Price Calculation'!$D$15+'Lot Price Calculation'!$D$21)*OFFSET('Con Financing'!$H$15,P23-1,0,,)</f>
        <v>0</v>
      </c>
      <c r="Q29" s="144">
        <f ca="1">('Lot Price Calculation'!$D$15+'Lot Price Calculation'!$D$21)*OFFSET('Con Financing'!$H$15,Q23-1,0,,)</f>
        <v>0</v>
      </c>
      <c r="R29" s="144">
        <f ca="1">('Lot Price Calculation'!$D$15+'Lot Price Calculation'!$D$21)*OFFSET('Con Financing'!$H$15,R23-1,0,,)</f>
        <v>0</v>
      </c>
      <c r="S29" s="144">
        <f ca="1">('Lot Price Calculation'!$D$15+'Lot Price Calculation'!$D$21)*OFFSET('Con Financing'!$H$15,S23-1,0,,)</f>
        <v>0</v>
      </c>
      <c r="T29" s="144">
        <f ca="1">('Lot Price Calculation'!$D$15+'Lot Price Calculation'!$D$21)*OFFSET('Con Financing'!$H$15,T23-1,0,,)</f>
        <v>0</v>
      </c>
      <c r="U29" s="144">
        <f ca="1">('Lot Price Calculation'!$D$15+'Lot Price Calculation'!$D$21)*OFFSET('Con Financing'!$H$15,U23-1,0,,)</f>
        <v>0</v>
      </c>
      <c r="V29" s="144">
        <f ca="1">('Lot Price Calculation'!$D$15+'Lot Price Calculation'!$D$21)*OFFSET('Con Financing'!$H$15,V23-1,0,,)</f>
        <v>0</v>
      </c>
      <c r="W29" s="144">
        <f ca="1">('Lot Price Calculation'!$D$15+'Lot Price Calculation'!$D$21)*OFFSET('Con Financing'!$H$15,W23-1,0,,)</f>
        <v>0</v>
      </c>
      <c r="X29" s="144">
        <f ca="1">('Lot Price Calculation'!$D$15+'Lot Price Calculation'!$D$21)*OFFSET('Con Financing'!$H$15,X23-1,0,,)</f>
        <v>0</v>
      </c>
      <c r="Y29" s="143"/>
    </row>
    <row r="30" spans="2:25" ht="15">
      <c r="B30" s="39" t="s">
        <v>50</v>
      </c>
      <c r="C30" s="140"/>
      <c r="D30" s="128"/>
      <c r="E30" s="144">
        <f ca="1">OFFSET('Con Calculations'!$N$45,E23-1,0,,)</f>
        <v>600</v>
      </c>
      <c r="F30" s="144">
        <f ca="1">OFFSET('Con Calculations'!$N$45,F23-1,0,,)</f>
        <v>600</v>
      </c>
      <c r="G30" s="144">
        <f ca="1">OFFSET('Con Calculations'!$N$45,G23-1,0,,)</f>
        <v>600</v>
      </c>
      <c r="H30" s="144">
        <f ca="1">OFFSET('Con Calculations'!$N$45,H23-1,0,,)</f>
        <v>600</v>
      </c>
      <c r="I30" s="144">
        <f ca="1">OFFSET('Con Calculations'!$N$45,I23-1,0,,)</f>
        <v>600</v>
      </c>
      <c r="J30" s="144">
        <f ca="1">OFFSET('Con Calculations'!$N$45,J23-1,0,,)</f>
        <v>600</v>
      </c>
      <c r="K30" s="144">
        <f ca="1">OFFSET('Con Calculations'!$N$45,K23-1,0,,)</f>
        <v>600</v>
      </c>
      <c r="L30" s="144">
        <f ca="1">OFFSET('Con Calculations'!$N$45,L23-1,0,,)</f>
        <v>600</v>
      </c>
      <c r="M30" s="144">
        <f ca="1">OFFSET('Con Calculations'!$N$45,M23-1,0,,)</f>
        <v>600</v>
      </c>
      <c r="N30" s="144">
        <f ca="1">OFFSET('Con Calculations'!$N$45,N23-1,0,,)</f>
        <v>0</v>
      </c>
      <c r="O30" s="144">
        <f ca="1">OFFSET('Con Calculations'!$N$45,O23-1,0,,)</f>
        <v>0</v>
      </c>
      <c r="P30" s="144">
        <f ca="1">OFFSET('Con Calculations'!$N$45,P23-1,0,,)</f>
        <v>0</v>
      </c>
      <c r="Q30" s="144">
        <f ca="1">OFFSET('Con Calculations'!$N$45,Q23-1,0,,)</f>
        <v>0</v>
      </c>
      <c r="R30" s="144">
        <f ca="1">OFFSET('Con Calculations'!$N$45,R23-1,0,,)</f>
        <v>0</v>
      </c>
      <c r="S30" s="144">
        <f ca="1">OFFSET('Con Calculations'!$N$45,S23-1,0,,)</f>
        <v>0</v>
      </c>
      <c r="T30" s="144">
        <f ca="1">OFFSET('Con Calculations'!$N$45,T23-1,0,,)</f>
        <v>0</v>
      </c>
      <c r="U30" s="144">
        <f ca="1">OFFSET('Con Calculations'!$N$45,U23-1,0,,)</f>
        <v>0</v>
      </c>
      <c r="V30" s="144">
        <f ca="1">OFFSET('Con Calculations'!$N$45,V23-1,0,,)</f>
        <v>0</v>
      </c>
      <c r="W30" s="144">
        <f ca="1">OFFSET('Con Calculations'!$N$45,W23-1,0,,)</f>
        <v>0</v>
      </c>
      <c r="X30" s="144">
        <f ca="1">OFFSET('Con Calculations'!$N$45,X23-1,0,,)</f>
        <v>0</v>
      </c>
      <c r="Y30" s="143"/>
    </row>
    <row r="31" spans="2:25" ht="15">
      <c r="B31" s="39"/>
      <c r="C31" s="140"/>
      <c r="D31" s="128"/>
      <c r="E31" s="144"/>
      <c r="F31" s="144"/>
      <c r="G31" s="144"/>
      <c r="H31" s="144"/>
      <c r="I31" s="144"/>
      <c r="J31" s="144"/>
      <c r="K31" s="144"/>
      <c r="L31" s="144"/>
      <c r="M31" s="144"/>
      <c r="N31" s="144"/>
      <c r="O31" s="144"/>
      <c r="P31" s="144"/>
      <c r="Q31" s="144"/>
      <c r="R31" s="144"/>
      <c r="S31" s="144"/>
      <c r="T31" s="144"/>
      <c r="U31" s="144"/>
      <c r="V31" s="144"/>
      <c r="W31" s="144"/>
      <c r="X31" s="144"/>
      <c r="Y31" s="142"/>
    </row>
    <row r="32" spans="2:25" ht="15">
      <c r="B32" s="10" t="s">
        <v>171</v>
      </c>
      <c r="C32" s="140"/>
      <c r="D32" s="128"/>
      <c r="E32" s="141"/>
      <c r="F32" s="141"/>
      <c r="G32" s="141"/>
      <c r="H32" s="141"/>
      <c r="I32" s="141"/>
      <c r="J32" s="141"/>
      <c r="K32" s="141"/>
      <c r="L32" s="141"/>
      <c r="M32" s="141"/>
      <c r="N32" s="141"/>
      <c r="O32" s="141"/>
      <c r="P32" s="141"/>
      <c r="Q32" s="141"/>
      <c r="R32" s="141"/>
      <c r="S32" s="141"/>
      <c r="T32" s="141"/>
      <c r="U32" s="141"/>
      <c r="V32" s="141"/>
      <c r="W32" s="141"/>
      <c r="X32" s="141"/>
      <c r="Y32" s="142"/>
    </row>
    <row r="33" spans="2:25" ht="15">
      <c r="B33" s="39" t="s">
        <v>38</v>
      </c>
      <c r="C33" s="140"/>
      <c r="D33" s="128"/>
      <c r="E33" s="139">
        <f>E29*'Con Financing'!$E$5</f>
        <v>22084.954896932977</v>
      </c>
      <c r="F33" s="139">
        <f>F29*'Con Financing'!$E$5</f>
        <v>27038.589640170278</v>
      </c>
      <c r="G33" s="139">
        <f>G29*'Con Financing'!$E$5</f>
        <v>27038.589640170278</v>
      </c>
      <c r="H33" s="139">
        <f>H29*'Con Financing'!$E$5</f>
        <v>27038.589640170278</v>
      </c>
      <c r="I33" s="139">
        <f>I29*'Con Financing'!$E$5</f>
        <v>27038.589640170278</v>
      </c>
      <c r="J33" s="139">
        <f>J29*'Con Financing'!$E$5</f>
        <v>27038.589640170278</v>
      </c>
      <c r="K33" s="139">
        <f>K29*'Con Financing'!$E$5</f>
        <v>27038.589640170278</v>
      </c>
      <c r="L33" s="139">
        <f>L29*'Con Financing'!$E$5</f>
        <v>0</v>
      </c>
      <c r="M33" s="139">
        <f>M29*'Con Financing'!$E$5</f>
        <v>0</v>
      </c>
      <c r="N33" s="139">
        <f>N29*'Con Financing'!$E$5</f>
        <v>0</v>
      </c>
      <c r="O33" s="139">
        <f>O29*'Con Financing'!$E$5</f>
        <v>0</v>
      </c>
      <c r="P33" s="139">
        <f>P29*'Con Financing'!$E$5</f>
        <v>0</v>
      </c>
      <c r="Q33" s="139">
        <f>Q29*'Con Financing'!$E$5</f>
        <v>0</v>
      </c>
      <c r="R33" s="139">
        <f>R29*'Con Financing'!$E$5</f>
        <v>0</v>
      </c>
      <c r="S33" s="139">
        <f>S29*'Con Financing'!$E$5</f>
        <v>0</v>
      </c>
      <c r="T33" s="139">
        <f>T29*'Con Financing'!$E$5</f>
        <v>0</v>
      </c>
      <c r="U33" s="139">
        <f>U29*'Con Financing'!$E$5</f>
        <v>0</v>
      </c>
      <c r="V33" s="139">
        <f>V29*'Con Financing'!$E$5</f>
        <v>0</v>
      </c>
      <c r="W33" s="139">
        <f>W29*'Con Financing'!$E$5</f>
        <v>0</v>
      </c>
      <c r="X33" s="139">
        <f>X29*'Con Financing'!$E$5</f>
        <v>0</v>
      </c>
      <c r="Y33" s="145"/>
    </row>
    <row r="34" spans="2:25" ht="15">
      <c r="B34" s="39" t="s">
        <v>102</v>
      </c>
      <c r="C34" s="140"/>
      <c r="D34" s="128"/>
      <c r="E34" s="139">
        <f>SUM(E33:X33)*'Con Financing'!E8</f>
        <v>1843.1649273795465</v>
      </c>
      <c r="F34" s="139">
        <v>0</v>
      </c>
      <c r="G34" s="139">
        <v>0</v>
      </c>
      <c r="H34" s="139">
        <v>0</v>
      </c>
      <c r="I34" s="139">
        <v>0</v>
      </c>
      <c r="J34" s="139">
        <v>0</v>
      </c>
      <c r="K34" s="139">
        <v>0</v>
      </c>
      <c r="L34" s="139">
        <v>0</v>
      </c>
      <c r="M34" s="139">
        <v>0</v>
      </c>
      <c r="N34" s="139">
        <v>0</v>
      </c>
      <c r="O34" s="139">
        <v>0</v>
      </c>
      <c r="P34" s="139">
        <v>0</v>
      </c>
      <c r="Q34" s="139">
        <v>0</v>
      </c>
      <c r="R34" s="139">
        <v>0</v>
      </c>
      <c r="S34" s="139">
        <v>0</v>
      </c>
      <c r="T34" s="139">
        <v>0</v>
      </c>
      <c r="U34" s="139">
        <v>0</v>
      </c>
      <c r="V34" s="139">
        <v>0</v>
      </c>
      <c r="W34" s="139">
        <v>0</v>
      </c>
      <c r="X34" s="139">
        <v>0</v>
      </c>
      <c r="Y34" s="142"/>
    </row>
    <row r="35" spans="2:25" ht="15">
      <c r="B35" s="39" t="s">
        <v>39</v>
      </c>
      <c r="C35" s="140"/>
      <c r="D35" s="128"/>
      <c r="E35" s="139">
        <f>IF(E26&gt;0,SUM($E33:$X33),0)</f>
        <v>0</v>
      </c>
      <c r="F35" s="139">
        <f aca="true" t="shared" si="4" ref="F35:X35">IF(F26&gt;0,SUM($E33:$X33),0)</f>
        <v>0</v>
      </c>
      <c r="G35" s="139">
        <f t="shared" si="4"/>
        <v>0</v>
      </c>
      <c r="H35" s="139">
        <f t="shared" si="4"/>
        <v>0</v>
      </c>
      <c r="I35" s="139">
        <f t="shared" si="4"/>
        <v>0</v>
      </c>
      <c r="J35" s="139">
        <f t="shared" si="4"/>
        <v>0</v>
      </c>
      <c r="K35" s="139">
        <f t="shared" si="4"/>
        <v>0</v>
      </c>
      <c r="L35" s="139">
        <f t="shared" si="4"/>
        <v>0</v>
      </c>
      <c r="M35" s="139">
        <f t="shared" si="4"/>
        <v>184316.49273795466</v>
      </c>
      <c r="N35" s="139">
        <f t="shared" si="4"/>
        <v>0</v>
      </c>
      <c r="O35" s="139">
        <f t="shared" si="4"/>
        <v>0</v>
      </c>
      <c r="P35" s="139">
        <f t="shared" si="4"/>
        <v>0</v>
      </c>
      <c r="Q35" s="139">
        <f t="shared" si="4"/>
        <v>0</v>
      </c>
      <c r="R35" s="139">
        <f t="shared" si="4"/>
        <v>0</v>
      </c>
      <c r="S35" s="139">
        <f t="shared" si="4"/>
        <v>0</v>
      </c>
      <c r="T35" s="139">
        <f t="shared" si="4"/>
        <v>0</v>
      </c>
      <c r="U35" s="139">
        <f t="shared" si="4"/>
        <v>0</v>
      </c>
      <c r="V35" s="139">
        <f t="shared" si="4"/>
        <v>0</v>
      </c>
      <c r="W35" s="139">
        <f t="shared" si="4"/>
        <v>0</v>
      </c>
      <c r="X35" s="139">
        <f t="shared" si="4"/>
        <v>0</v>
      </c>
      <c r="Y35" s="145"/>
    </row>
    <row r="36" spans="2:25" ht="15">
      <c r="B36" s="39" t="s">
        <v>174</v>
      </c>
      <c r="C36" s="140"/>
      <c r="D36" s="128"/>
      <c r="E36" s="139">
        <f>'Lot Price Calculation'!$F$6*E35</f>
        <v>0</v>
      </c>
      <c r="F36" s="139">
        <f>'Lot Price Calculation'!$F$6*F35</f>
        <v>0</v>
      </c>
      <c r="G36" s="139">
        <f>'Lot Price Calculation'!$F$6*G35</f>
        <v>0</v>
      </c>
      <c r="H36" s="139">
        <f>'Lot Price Calculation'!$F$6*H35</f>
        <v>0</v>
      </c>
      <c r="I36" s="139">
        <f>'Lot Price Calculation'!$F$6*I35</f>
        <v>0</v>
      </c>
      <c r="J36" s="139">
        <f>'Lot Price Calculation'!$F$6*J35</f>
        <v>0</v>
      </c>
      <c r="K36" s="139">
        <f>'Lot Price Calculation'!$F$6*K35</f>
        <v>0</v>
      </c>
      <c r="L36" s="139">
        <f>'Lot Price Calculation'!$F$6*L35</f>
        <v>0</v>
      </c>
      <c r="M36" s="139">
        <f>'Lot Price Calculation'!$F$6*M35</f>
        <v>3471.2191501771467</v>
      </c>
      <c r="N36" s="139">
        <f>'Lot Price Calculation'!$F$6*N35</f>
        <v>0</v>
      </c>
      <c r="O36" s="139">
        <f>'Lot Price Calculation'!$F$6*O35</f>
        <v>0</v>
      </c>
      <c r="P36" s="139">
        <f>'Lot Price Calculation'!$F$6*P35</f>
        <v>0</v>
      </c>
      <c r="Q36" s="139">
        <f>'Lot Price Calculation'!$F$6*Q35</f>
        <v>0</v>
      </c>
      <c r="R36" s="139">
        <f>'Lot Price Calculation'!$F$6*R35</f>
        <v>0</v>
      </c>
      <c r="S36" s="139">
        <f>'Lot Price Calculation'!$F$6*S35</f>
        <v>0</v>
      </c>
      <c r="T36" s="139">
        <f>'Lot Price Calculation'!$F$6*T35</f>
        <v>0</v>
      </c>
      <c r="U36" s="139">
        <f>'Lot Price Calculation'!$F$6*U35</f>
        <v>0</v>
      </c>
      <c r="V36" s="139">
        <f>'Lot Price Calculation'!$F$6*V35</f>
        <v>0</v>
      </c>
      <c r="W36" s="139">
        <f>'Lot Price Calculation'!$F$6*W35</f>
        <v>0</v>
      </c>
      <c r="X36" s="139">
        <f>'Lot Price Calculation'!$F$6*X35</f>
        <v>0</v>
      </c>
      <c r="Y36" s="145"/>
    </row>
    <row r="37" spans="2:25" ht="15">
      <c r="B37" s="39"/>
      <c r="C37" s="140"/>
      <c r="D37" s="128"/>
      <c r="E37" s="139"/>
      <c r="F37" s="139"/>
      <c r="G37" s="139"/>
      <c r="H37" s="139"/>
      <c r="I37" s="139"/>
      <c r="J37" s="139"/>
      <c r="K37" s="139"/>
      <c r="L37" s="139"/>
      <c r="M37" s="139"/>
      <c r="N37" s="139"/>
      <c r="O37" s="139"/>
      <c r="P37" s="139"/>
      <c r="Q37" s="139"/>
      <c r="R37" s="139"/>
      <c r="S37" s="139"/>
      <c r="T37" s="139"/>
      <c r="U37" s="139"/>
      <c r="V37" s="139"/>
      <c r="W37" s="139"/>
      <c r="X37" s="139"/>
      <c r="Y37" s="145"/>
    </row>
    <row r="38" spans="2:25" ht="15">
      <c r="B38" s="39" t="s">
        <v>210</v>
      </c>
      <c r="C38" s="140"/>
      <c r="D38" s="129">
        <f>(1-'Lot Price Calculation'!F5)*('Lot Price Calculation'!D15+'Lot Price Calculation'!D21)+SUM(E30:Y30)+SUM(E34:X34)</f>
        <v>53322.2881118682</v>
      </c>
      <c r="E38" s="139"/>
      <c r="F38" s="139"/>
      <c r="G38" s="139"/>
      <c r="H38" s="139"/>
      <c r="I38" s="139"/>
      <c r="J38" s="139"/>
      <c r="K38" s="139"/>
      <c r="L38" s="139"/>
      <c r="M38" s="139"/>
      <c r="N38" s="139"/>
      <c r="O38" s="139"/>
      <c r="P38" s="139"/>
      <c r="Q38" s="139"/>
      <c r="R38" s="139"/>
      <c r="S38" s="139"/>
      <c r="T38" s="139"/>
      <c r="U38" s="139"/>
      <c r="V38" s="139"/>
      <c r="W38" s="139"/>
      <c r="X38" s="139"/>
      <c r="Y38" s="145"/>
    </row>
    <row r="39" spans="2:25" ht="15">
      <c r="B39" s="39"/>
      <c r="C39" s="140"/>
      <c r="D39" s="128"/>
      <c r="E39" s="141"/>
      <c r="F39" s="141"/>
      <c r="G39" s="141"/>
      <c r="H39" s="141"/>
      <c r="I39" s="141"/>
      <c r="J39" s="141"/>
      <c r="K39" s="141"/>
      <c r="L39" s="141"/>
      <c r="M39" s="141"/>
      <c r="N39" s="141"/>
      <c r="O39" s="141"/>
      <c r="P39" s="141"/>
      <c r="Q39" s="141"/>
      <c r="R39" s="141"/>
      <c r="S39" s="141"/>
      <c r="T39" s="141"/>
      <c r="U39" s="141"/>
      <c r="V39" s="141"/>
      <c r="W39" s="141"/>
      <c r="X39" s="141"/>
      <c r="Y39" s="142"/>
    </row>
    <row r="40" spans="2:25" ht="15.75" thickBot="1">
      <c r="B40" s="32" t="s">
        <v>172</v>
      </c>
      <c r="C40" s="146"/>
      <c r="D40" s="132">
        <f>D38</f>
        <v>53322.2881118682</v>
      </c>
      <c r="E40" s="147">
        <f aca="true" t="shared" si="5" ref="E40:X40">E26+E33-E29-E30-E34-E35-E36</f>
        <v>-7964.403651612787</v>
      </c>
      <c r="F40" s="147">
        <f t="shared" si="5"/>
        <v>-7359.647410042569</v>
      </c>
      <c r="G40" s="147">
        <f t="shared" si="5"/>
        <v>-7359.647410042569</v>
      </c>
      <c r="H40" s="147">
        <f t="shared" si="5"/>
        <v>-7359.647410042569</v>
      </c>
      <c r="I40" s="147">
        <f t="shared" si="5"/>
        <v>-7359.647410042569</v>
      </c>
      <c r="J40" s="147">
        <f t="shared" si="5"/>
        <v>-7359.647410042569</v>
      </c>
      <c r="K40" s="147">
        <f t="shared" si="5"/>
        <v>-7359.647410042569</v>
      </c>
      <c r="L40" s="147">
        <f t="shared" si="5"/>
        <v>-600</v>
      </c>
      <c r="M40" s="147">
        <f t="shared" si="5"/>
        <v>81612.2881118682</v>
      </c>
      <c r="N40" s="147">
        <f t="shared" si="5"/>
        <v>0</v>
      </c>
      <c r="O40" s="147">
        <f t="shared" si="5"/>
        <v>0</v>
      </c>
      <c r="P40" s="147">
        <f t="shared" si="5"/>
        <v>0</v>
      </c>
      <c r="Q40" s="147">
        <f t="shared" si="5"/>
        <v>0</v>
      </c>
      <c r="R40" s="147">
        <f t="shared" si="5"/>
        <v>0</v>
      </c>
      <c r="S40" s="147">
        <f t="shared" si="5"/>
        <v>0</v>
      </c>
      <c r="T40" s="147">
        <f t="shared" si="5"/>
        <v>0</v>
      </c>
      <c r="U40" s="147">
        <f t="shared" si="5"/>
        <v>0</v>
      </c>
      <c r="V40" s="147">
        <f t="shared" si="5"/>
        <v>0</v>
      </c>
      <c r="W40" s="147">
        <f t="shared" si="5"/>
        <v>0</v>
      </c>
      <c r="X40" s="147">
        <f t="shared" si="5"/>
        <v>0</v>
      </c>
      <c r="Y40" s="148"/>
    </row>
    <row r="42" ht="15.75" customHeight="1"/>
    <row r="44" ht="15">
      <c r="E44" s="93"/>
    </row>
    <row r="45" ht="15">
      <c r="E45" s="93"/>
    </row>
    <row r="46" ht="15">
      <c r="E46" s="93"/>
    </row>
    <row r="47" ht="15">
      <c r="E47" s="93"/>
    </row>
    <row r="48" ht="15">
      <c r="E48" s="93"/>
    </row>
    <row r="49" ht="15">
      <c r="E49" s="93"/>
    </row>
    <row r="50" ht="15">
      <c r="E50" s="93"/>
    </row>
    <row r="51" spans="3:4" ht="15">
      <c r="C51" s="93"/>
      <c r="D51" s="93"/>
    </row>
    <row r="52" spans="3:4" ht="15">
      <c r="C52" s="93"/>
      <c r="D52" s="93"/>
    </row>
    <row r="53" spans="3:4" ht="15">
      <c r="C53" s="93"/>
      <c r="D53" s="93"/>
    </row>
    <row r="54" spans="3:4" ht="15">
      <c r="C54" s="93"/>
      <c r="D54" s="93"/>
    </row>
    <row r="55" spans="3:4" ht="15">
      <c r="C55" s="93"/>
      <c r="D55" s="93"/>
    </row>
    <row r="56" spans="3:4" ht="15">
      <c r="C56" s="93"/>
      <c r="D56" s="93"/>
    </row>
    <row r="57" spans="3:4" ht="15">
      <c r="C57" s="93"/>
      <c r="D57" s="93"/>
    </row>
  </sheetData>
  <sheetProtection password="CFB3" sheet="1" objects="1" scenarios="1"/>
  <printOptions/>
  <pageMargins left="0.75" right="0.75" top="1" bottom="1"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tabColor theme="9" tint="0.7999799847602844"/>
  </sheetPr>
  <dimension ref="B2:T61"/>
  <sheetViews>
    <sheetView zoomScale="90" zoomScaleNormal="90" zoomScalePageLayoutView="80" workbookViewId="0" topLeftCell="A4">
      <selection activeCell="J26" sqref="J26"/>
    </sheetView>
  </sheetViews>
  <sheetFormatPr defaultColWidth="8.8515625" defaultRowHeight="15"/>
  <cols>
    <col min="1" max="1" width="3.140625" style="76" customWidth="1"/>
    <col min="2" max="2" width="71.421875" style="76" customWidth="1"/>
    <col min="3" max="3" width="9.140625" style="76" customWidth="1"/>
    <col min="4" max="4" width="6.00390625" style="76" customWidth="1"/>
    <col min="5" max="5" width="33.140625" style="76" bestFit="1" customWidth="1"/>
    <col min="6" max="12" width="14.28125" style="76" customWidth="1"/>
    <col min="13" max="13" width="13.28125" style="76" customWidth="1"/>
    <col min="14" max="14" width="10.28125" style="76" customWidth="1"/>
    <col min="15" max="15" width="24.8515625" style="76" customWidth="1"/>
    <col min="16" max="17" width="8.421875" style="76" customWidth="1"/>
    <col min="18" max="18" width="7.421875" style="76" customWidth="1"/>
    <col min="19" max="25" width="10.421875" style="76" customWidth="1"/>
    <col min="26" max="26" width="5.8515625" style="76" customWidth="1"/>
    <col min="27" max="27" width="13.421875" style="76" bestFit="1" customWidth="1"/>
    <col min="28" max="16384" width="8.8515625" style="76" customWidth="1"/>
  </cols>
  <sheetData>
    <row r="1" ht="15.75" thickBot="1"/>
    <row r="2" spans="2:7" ht="15.75" thickBot="1">
      <c r="B2" s="41" t="s">
        <v>70</v>
      </c>
      <c r="C2" s="56"/>
      <c r="E2" s="41" t="s">
        <v>3</v>
      </c>
      <c r="F2" s="42"/>
      <c r="G2" s="43"/>
    </row>
    <row r="3" spans="2:7" ht="15">
      <c r="B3" s="510" t="str">
        <f>'A&amp;D Costs'!C5</f>
        <v>IZ Property, Inc.</v>
      </c>
      <c r="C3" s="511"/>
      <c r="E3" s="318"/>
      <c r="F3" s="317" t="s">
        <v>4</v>
      </c>
      <c r="G3" s="274" t="s">
        <v>0</v>
      </c>
    </row>
    <row r="4" spans="2:7" ht="15">
      <c r="B4" s="512" t="str">
        <f>'A&amp;D Costs'!C6</f>
        <v>123 Development Lane</v>
      </c>
      <c r="C4" s="513"/>
      <c r="E4" s="38" t="s">
        <v>5</v>
      </c>
      <c r="F4" s="154">
        <f>'A&amp;D Costs'!C12*(1-'A&amp;D Costs'!C13)</f>
        <v>40</v>
      </c>
      <c r="G4" s="155">
        <f>'A&amp;D Costs'!E12*(1-'A&amp;D Costs'!E13)</f>
        <v>48</v>
      </c>
    </row>
    <row r="5" spans="2:8" ht="15">
      <c r="B5" s="512" t="str">
        <f>'A&amp;D Costs'!C7</f>
        <v>Washington, D.C. 20005</v>
      </c>
      <c r="C5" s="513"/>
      <c r="E5" s="38" t="s">
        <v>6</v>
      </c>
      <c r="F5" s="154">
        <f>'A&amp;D Costs'!C12*'A&amp;D Costs'!C13</f>
        <v>10</v>
      </c>
      <c r="G5" s="156">
        <f>'A&amp;D Costs'!E12*'A&amp;D Costs'!E13</f>
        <v>12</v>
      </c>
      <c r="H5" s="153"/>
    </row>
    <row r="6" spans="2:7" ht="15.75" thickBot="1">
      <c r="B6" s="514"/>
      <c r="C6" s="515"/>
      <c r="E6" s="296" t="s">
        <v>7</v>
      </c>
      <c r="F6" s="297">
        <f>F4+F5</f>
        <v>50</v>
      </c>
      <c r="G6" s="298">
        <f>G4+G5</f>
        <v>60</v>
      </c>
    </row>
    <row r="7" ht="15.75" thickBot="1"/>
    <row r="8" spans="2:8" ht="15.75" thickBot="1">
      <c r="B8" s="44" t="s">
        <v>163</v>
      </c>
      <c r="C8" s="55"/>
      <c r="E8" s="41" t="s">
        <v>179</v>
      </c>
      <c r="F8" s="46"/>
      <c r="G8" s="46"/>
      <c r="H8" s="47"/>
    </row>
    <row r="9" spans="2:8" ht="15">
      <c r="B9" s="402"/>
      <c r="C9" s="403"/>
      <c r="E9" s="23"/>
      <c r="F9" s="273" t="s">
        <v>4</v>
      </c>
      <c r="G9" s="325" t="s">
        <v>0</v>
      </c>
      <c r="H9" s="325" t="s">
        <v>177</v>
      </c>
    </row>
    <row r="10" spans="2:8" ht="15">
      <c r="B10" s="404" t="s">
        <v>233</v>
      </c>
      <c r="C10" s="405" t="str">
        <f>IF(F6=G6,"No","Yes")</f>
        <v>Yes</v>
      </c>
      <c r="E10" s="38" t="s">
        <v>45</v>
      </c>
      <c r="F10" s="139">
        <f>'A&amp;D Costs'!C44</f>
        <v>110000</v>
      </c>
      <c r="G10" s="291">
        <f>'A&amp;D Costs'!E44</f>
        <v>110000</v>
      </c>
      <c r="H10" s="291">
        <f>'A&amp;D Costs'!C44</f>
        <v>110000</v>
      </c>
    </row>
    <row r="11" spans="2:8" ht="15">
      <c r="B11" s="404" t="s">
        <v>231</v>
      </c>
      <c r="C11" s="405" t="str">
        <f>IF('A&amp;D Costs'!C13='A&amp;D Costs'!E13,"No","Yes")</f>
        <v>No</v>
      </c>
      <c r="E11" s="39" t="s">
        <v>46</v>
      </c>
      <c r="F11" s="145">
        <f>'A&amp;D Costs'!C45+SUM('A&amp;D Pro Forma'!C14:V14)</f>
        <v>1689400</v>
      </c>
      <c r="G11" s="291">
        <f>'A&amp;D Costs'!E45+SUM('A&amp;D Pro Forma Incentives'!C14:V14)</f>
        <v>1689400</v>
      </c>
      <c r="H11" s="291">
        <f>'A&amp;D Costs'!C45+SUM('A&amp;D Pro Forma No IZ'!C14:V14)</f>
        <v>1689400</v>
      </c>
    </row>
    <row r="12" spans="2:8" ht="15">
      <c r="B12" s="407" t="s">
        <v>252</v>
      </c>
      <c r="C12" s="405" t="str">
        <f>IF('Con Sales'!E6&gt;'Con Sales'!C6,"Yes","No")</f>
        <v>No</v>
      </c>
      <c r="E12" s="39" t="s">
        <v>103</v>
      </c>
      <c r="F12" s="139">
        <f>SUM('A&amp;D Pro Forma'!C10:V10)+SUM('A&amp;D Pro Forma'!C16:V16)</f>
        <v>564118.9734371223</v>
      </c>
      <c r="G12" s="291">
        <f>SUM('A&amp;D Pro Forma Incentives'!C10:V10)+SUM('A&amp;D Pro Forma Incentives'!C16:V16)</f>
        <v>454943.1437854496</v>
      </c>
      <c r="H12" s="291">
        <f>SUM('A&amp;D Pro Forma No IZ'!C10:V10)+SUM('A&amp;D Pro Forma No IZ'!C16:V16)</f>
        <v>526734.8879221578</v>
      </c>
    </row>
    <row r="13" spans="2:10" ht="15">
      <c r="B13" s="406" t="s">
        <v>234</v>
      </c>
      <c r="C13" s="405" t="str">
        <f>IF(AND('A&amp;D Costs'!E13&lt;'A&amp;D Costs'!C13,NOT('A&amp;D Costs'!C36='A&amp;D Costs'!E36)),"Yes","No")</f>
        <v>No</v>
      </c>
      <c r="E13" s="159" t="s">
        <v>28</v>
      </c>
      <c r="F13" s="292">
        <f>SUM(F10:F12)</f>
        <v>2363518.973437122</v>
      </c>
      <c r="G13" s="293">
        <f>SUM(G10:G12)</f>
        <v>2254343.1437854497</v>
      </c>
      <c r="H13" s="293">
        <f>SUM(H10:H12)</f>
        <v>2326134.8879221575</v>
      </c>
      <c r="J13" s="324"/>
    </row>
    <row r="14" spans="2:8" ht="15.75" thickBot="1">
      <c r="B14" s="404" t="s">
        <v>235</v>
      </c>
      <c r="C14" s="405" t="str">
        <f>IF('A&amp;D Costs'!C17='A&amp;D Costs'!E17,"No","Yes")</f>
        <v>No</v>
      </c>
      <c r="E14" s="158" t="s">
        <v>167</v>
      </c>
      <c r="F14" s="294">
        <f>SUM('A&amp;D Pro Forma'!C6:V6)</f>
        <v>2314720.477616237</v>
      </c>
      <c r="G14" s="295">
        <f>SUM('A&amp;D Pro Forma Incentives'!C6:V6)</f>
        <v>2916222.3877874496</v>
      </c>
      <c r="H14" s="295">
        <f>SUM('A&amp;D Pro Forma No IZ'!C6:V6)</f>
        <v>3013586.647989755</v>
      </c>
    </row>
    <row r="15" spans="2:3" ht="15.75" thickBot="1">
      <c r="B15" s="404" t="s">
        <v>247</v>
      </c>
      <c r="C15" s="405" t="str">
        <f>IF(SUM('A&amp;D Costs'!C18:C20)=SUM('A&amp;D Costs'!E18:E20),"No","Yes")</f>
        <v>No</v>
      </c>
    </row>
    <row r="16" spans="2:12" ht="15.75" thickBot="1">
      <c r="B16" s="406" t="s">
        <v>236</v>
      </c>
      <c r="C16" s="405" t="str">
        <f>IF('A&amp;D Costs'!C37='A&amp;D Costs'!E37,"No","Yes")</f>
        <v>No</v>
      </c>
      <c r="E16" s="44" t="s">
        <v>287</v>
      </c>
      <c r="F16" s="45"/>
      <c r="G16" s="45"/>
      <c r="H16" s="45"/>
      <c r="I16" s="45"/>
      <c r="J16" s="45"/>
      <c r="K16" s="45"/>
      <c r="L16" s="316"/>
    </row>
    <row r="17" spans="2:12" ht="15">
      <c r="B17" s="406" t="s">
        <v>245</v>
      </c>
      <c r="C17" s="405" t="str">
        <f>IF(SUM('A&amp;D Costs'!C30:C33)=SUM('A&amp;D Costs'!E30:E33),"No","Yes")</f>
        <v>No</v>
      </c>
      <c r="E17" s="40"/>
      <c r="F17" s="518" t="s">
        <v>4</v>
      </c>
      <c r="G17" s="511"/>
      <c r="H17" s="510" t="s">
        <v>0</v>
      </c>
      <c r="I17" s="511"/>
      <c r="J17" s="510" t="s">
        <v>177</v>
      </c>
      <c r="K17" s="511"/>
      <c r="L17" s="399" t="s">
        <v>229</v>
      </c>
    </row>
    <row r="18" spans="2:12" ht="15">
      <c r="B18" s="406" t="s">
        <v>246</v>
      </c>
      <c r="C18" s="405" t="str">
        <f>IF('A&amp;D Costs'!C34='A&amp;D Costs'!E34,"No","Yes")</f>
        <v>No</v>
      </c>
      <c r="E18" s="39" t="s">
        <v>303</v>
      </c>
      <c r="F18" s="495">
        <f>IF(NOT(L18=""),IRR('A&amp;D Pro Forma'!C20:V20),"Not Used")</f>
        <v>0.033407882200533257</v>
      </c>
      <c r="G18" s="499" t="str">
        <f>IF(NOT(L18=""),IF(F18&gt;=Dashboard!$L18,"Feasible","Not Feasible"),"Not Used")</f>
        <v>Not Feasible</v>
      </c>
      <c r="H18" s="497">
        <f>IF(NOT(L18=""),IRR('A&amp;D Pro Forma Incentives'!C20:V20),"Not Used")</f>
        <v>0.13220331475520353</v>
      </c>
      <c r="I18" s="499" t="str">
        <f>IF(NOT(L18=""),IF(H18&gt;=Dashboard!$L18,"Feasible","Not Feasible"),"Not Used")</f>
        <v>Feasible</v>
      </c>
      <c r="J18" s="497">
        <f>IF(NOT(L18=""),IRR('A&amp;D Pro Forma No IZ'!C20:V20),"Not Used")</f>
        <v>0.13200276896256424</v>
      </c>
      <c r="K18" s="499" t="str">
        <f>IF(NOT(L18=""),IF(J18&gt;=Dashboard!$L18,"Feasible","Not Feasible"),"Not Used")</f>
        <v>Feasible</v>
      </c>
      <c r="L18" s="493">
        <f>IF(NOT('A&amp;D Returns'!$C3=""),'A&amp;D Returns'!$C3,"")</f>
        <v>0.132</v>
      </c>
    </row>
    <row r="19" spans="2:12" ht="15">
      <c r="B19" s="407" t="s">
        <v>230</v>
      </c>
      <c r="C19" s="405" t="str">
        <f>IF('A&amp;D Costs'!C38='A&amp;D Costs'!E38,"No","Yes")</f>
        <v>No</v>
      </c>
      <c r="E19" s="502" t="s">
        <v>290</v>
      </c>
      <c r="F19" s="495">
        <f>IF(NOT(L18=""),IRR('A&amp;D Pro Forma'!C21:V21),"Not Used")</f>
        <v>-0.01760783005176325</v>
      </c>
      <c r="G19" s="499" t="str">
        <f>IF(NOT(L19=""),IF(F19&gt;=Dashboard!$L19,"Feasible","Not Feasible"),"Not Used")</f>
        <v>Not Feasible</v>
      </c>
      <c r="H19" s="503">
        <f>IF(NOT(L18=""),IRR('A&amp;D Pro Forma Incentives'!C21:V21),"Not Used")</f>
        <v>0.20743779657046058</v>
      </c>
      <c r="I19" s="499" t="str">
        <f>IF(NOT(L19=""),IF(H19&gt;=Dashboard!$L19,"Feasible","Not Feasible"),"Not Used")</f>
        <v>Feasible</v>
      </c>
      <c r="J19" s="503">
        <f>IF(NOT(L18=""),IRR('A&amp;D Pro Forma No IZ'!C21:V21),"Not Used")</f>
        <v>0.2000048806227912</v>
      </c>
      <c r="K19" s="499" t="str">
        <f>IF(NOT(L19=""),IF(J19&gt;=Dashboard!$L19,"Feasible","Not Feasible"),"Not Used")</f>
        <v>Feasible</v>
      </c>
      <c r="L19" s="504">
        <f>IF(NOT('A&amp;D Returns'!$C4=""),'A&amp;D Returns'!$C4,"")</f>
        <v>0.2</v>
      </c>
    </row>
    <row r="20" spans="2:12" ht="15.75" thickBot="1">
      <c r="B20" s="407" t="s">
        <v>237</v>
      </c>
      <c r="C20" s="405" t="str">
        <f>IF(SUM('A&amp;D Costs'!C24:C33,'A&amp;D Costs'!C35,'A&amp;D Costs'!C39)=SUM('A&amp;D Costs'!E24:E33,'A&amp;D Costs'!E35,'A&amp;D Costs'!E39),"No","Yes")</f>
        <v>No</v>
      </c>
      <c r="E20" s="487" t="s">
        <v>291</v>
      </c>
      <c r="F20" s="496">
        <f>IF(NOT(L19=""),IRR('A&amp;D Pro Forma'!C26:V26),"Not Used")</f>
        <v>-0.016900557880900502</v>
      </c>
      <c r="G20" s="272" t="str">
        <f>IF(NOT(L20=""),IF(F20&gt;=Dashboard!$L20,"Feasible","Not Feasible"),"Not Used")</f>
        <v>Not Feasible</v>
      </c>
      <c r="H20" s="498">
        <f>IF(NOT(L19=""),IRR('A&amp;D Pro Forma Incentives'!C26:V26),"Not Used")</f>
        <v>0.19634290823287603</v>
      </c>
      <c r="I20" s="272" t="str">
        <f>IF(NOT(L20=""),IF(H20&gt;=Dashboard!$L20,"Feasible","Not Feasible"),"Not Used")</f>
        <v>Feasible</v>
      </c>
      <c r="J20" s="498">
        <f>IF(NOT(L19=""),IRR('A&amp;D Pro Forma No IZ'!C26:V26),"Not Used")</f>
        <v>0.1901537862872551</v>
      </c>
      <c r="K20" s="272" t="str">
        <f>IF(NOT(L20=""),IF(J20&gt;=Dashboard!$L20,"Feasible","Not Feasible"),"Not Used")</f>
        <v>Feasible</v>
      </c>
      <c r="L20" s="494">
        <f>IF(NOT('A&amp;D Returns'!$C5=""),'A&amp;D Returns'!$C5,"")</f>
        <v>0.19</v>
      </c>
    </row>
    <row r="21" spans="2:3" ht="15.75" thickBot="1">
      <c r="B21" s="413"/>
      <c r="C21" s="409"/>
    </row>
    <row r="22" spans="2:9" ht="15.75" thickBot="1">
      <c r="B22" s="406"/>
      <c r="C22" s="405"/>
      <c r="E22" s="41" t="s">
        <v>162</v>
      </c>
      <c r="F22" s="41"/>
      <c r="G22" s="56"/>
      <c r="H22" s="41"/>
      <c r="I22" s="56"/>
    </row>
    <row r="23" spans="2:9" ht="15">
      <c r="B23" s="406" t="s">
        <v>238</v>
      </c>
      <c r="C23" s="405" t="str">
        <f>IF('Construction Costs'!D52&gt;'Construction Costs'!F52,"Yes","No")</f>
        <v>No</v>
      </c>
      <c r="E23" s="164"/>
      <c r="F23" s="516" t="s">
        <v>4</v>
      </c>
      <c r="G23" s="517"/>
      <c r="H23" s="519" t="s">
        <v>0</v>
      </c>
      <c r="I23" s="517"/>
    </row>
    <row r="24" spans="2:12" ht="15">
      <c r="B24" s="406" t="s">
        <v>239</v>
      </c>
      <c r="C24" s="405" t="str">
        <f>IF(AND('Construction Costs'!C38='Construction Costs'!G38,'Construction Costs'!D38='Construction Costs'!H38),"No","Yes")</f>
        <v>No</v>
      </c>
      <c r="E24" s="275"/>
      <c r="F24" s="273" t="s">
        <v>79</v>
      </c>
      <c r="G24" s="300" t="s">
        <v>80</v>
      </c>
      <c r="H24" s="299" t="s">
        <v>79</v>
      </c>
      <c r="I24" s="300" t="s">
        <v>80</v>
      </c>
      <c r="L24" s="153"/>
    </row>
    <row r="25" spans="2:9" ht="15">
      <c r="B25" s="406" t="s">
        <v>240</v>
      </c>
      <c r="C25" s="405" t="str">
        <f>IF(SUM('Construction Costs'!C24:D28,'Construction Costs'!C30:D33,'Construction Costs'!C39:D43)=SUM('Construction Costs'!G24:H28,'Construction Costs'!G30:H33,'Construction Costs'!G39:H43),"No","Yes")</f>
        <v>No</v>
      </c>
      <c r="E25" s="39" t="s">
        <v>78</v>
      </c>
      <c r="F25" s="144">
        <f>'Lot Sales'!C5</f>
        <v>60271.7329597951</v>
      </c>
      <c r="G25" s="143">
        <f>'Lot Sales'!C6</f>
        <v>-9614.884077556693</v>
      </c>
      <c r="H25" s="279">
        <f>'Lot Sales'!D5</f>
        <v>63158.35409829437</v>
      </c>
      <c r="I25" s="143">
        <f>'Lot Sales'!D6</f>
        <v>-9614.884077556693</v>
      </c>
    </row>
    <row r="26" spans="2:9" ht="15">
      <c r="B26" s="408"/>
      <c r="C26" s="409"/>
      <c r="E26" s="39" t="s">
        <v>140</v>
      </c>
      <c r="F26" s="144">
        <f>'Construction Costs'!C52</f>
        <v>193030.5</v>
      </c>
      <c r="G26" s="143">
        <f>'Construction Costs'!D52</f>
        <v>193030.5</v>
      </c>
      <c r="H26" s="279">
        <f>'Construction Costs'!E52</f>
        <v>193030.5</v>
      </c>
      <c r="I26" s="145">
        <f>'Construction Costs'!F52</f>
        <v>193030.5</v>
      </c>
    </row>
    <row r="27" spans="2:9" ht="15">
      <c r="B27" s="406"/>
      <c r="C27" s="405"/>
      <c r="E27" s="39" t="s">
        <v>165</v>
      </c>
      <c r="F27" s="144">
        <f>SUM('Pro Forma Const.'!E14:Y14)+SUM('Pro Forma Const.'!E16:Y16)</f>
        <v>7327.767040204917</v>
      </c>
      <c r="G27" s="143">
        <f>SUM('Pro Forma Const.'!E34:Y34)+SUM('Pro Forma Const.'!E36:Y36)</f>
        <v>5314.384077556693</v>
      </c>
      <c r="H27" s="279">
        <f>SUM('Pro Forma Const. Incentives'!E14:Y14)+SUM('Pro Forma Const. Incentives'!E16:Y16)</f>
        <v>7410.928510401256</v>
      </c>
      <c r="I27" s="145">
        <f>SUM('Pro Forma Const. Incentives'!E34:Y34)+SUM('Pro Forma Const. Incentives'!E36:Y36)</f>
        <v>5314.384077556693</v>
      </c>
    </row>
    <row r="28" spans="2:12" ht="15">
      <c r="B28" s="406" t="s">
        <v>241</v>
      </c>
      <c r="C28" s="405" t="str">
        <f>IF(AND('A&amp;D Financing'!C9='A&amp;D Financing'!E9,'A&amp;D Financing'!C11='A&amp;D Financing'!E11,'Con Financing'!C7='Con Financing'!E7,'Con Financing'!C8='Con Financing'!E8),"No","Yes")</f>
        <v>No</v>
      </c>
      <c r="E28" s="39" t="s">
        <v>166</v>
      </c>
      <c r="F28" s="144">
        <f>SUM('Con Calculations'!E4:E39)</f>
        <v>5400</v>
      </c>
      <c r="G28" s="143">
        <f>SUM('Con Calculations'!N4:N39)</f>
        <v>5400</v>
      </c>
      <c r="H28" s="279">
        <f>SUM('Con Calculations'!E45:E80)</f>
        <v>5400</v>
      </c>
      <c r="I28" s="145">
        <f>SUM('Con Calculations'!N45:N80)</f>
        <v>5400</v>
      </c>
      <c r="L28" s="153"/>
    </row>
    <row r="29" spans="2:13" ht="15">
      <c r="B29" s="406" t="s">
        <v>242</v>
      </c>
      <c r="C29" s="410" t="str">
        <f>IF(AND('A&amp;D Op Exp'!C5='A&amp;D Op Exp'!E5,'Con Op Exp'!C5='Con Op Exp'!E5),"No","Yes")</f>
        <v>Yes</v>
      </c>
      <c r="E29" s="92" t="s">
        <v>128</v>
      </c>
      <c r="F29" s="287">
        <f>'Construction Costs'!C53</f>
        <v>64379.99999999999</v>
      </c>
      <c r="G29" s="288">
        <f>'Construction Costs'!D53</f>
        <v>46980</v>
      </c>
      <c r="H29" s="289">
        <f>'Construction Costs'!E53</f>
        <v>65098.69565217391</v>
      </c>
      <c r="I29" s="290">
        <f>'Construction Costs'!F53</f>
        <v>46980</v>
      </c>
      <c r="L29" s="153"/>
      <c r="M29" s="153"/>
    </row>
    <row r="30" spans="2:13" ht="15">
      <c r="B30" s="406" t="s">
        <v>243</v>
      </c>
      <c r="C30" s="410" t="str">
        <f>IF(AND(('A&amp;D Op Exp'!C6+'A&amp;D Op Exp'!C7)=('A&amp;D Op Exp'!E6+'A&amp;D Op Exp'!E7),('Con Op Exp'!C6+'Con Op Exp'!C7)=('Con Op Exp'!E6+'Con Op Exp'!E7)),"No","Yes")</f>
        <v>No</v>
      </c>
      <c r="E30" s="38" t="s">
        <v>8</v>
      </c>
      <c r="F30" s="144">
        <f>SUM(F25:F29)</f>
        <v>330410</v>
      </c>
      <c r="G30" s="143">
        <f>SUM(G25:G29)</f>
        <v>241110</v>
      </c>
      <c r="H30" s="279">
        <f>SUM(H25:H29)</f>
        <v>334098.4782608695</v>
      </c>
      <c r="I30" s="145">
        <f>SUM(I25:I29)</f>
        <v>241110</v>
      </c>
      <c r="M30" s="153"/>
    </row>
    <row r="31" spans="2:13" ht="15">
      <c r="B31" s="406" t="s">
        <v>244</v>
      </c>
      <c r="C31" s="410" t="str">
        <f>IF(OR(MAX('Lot Sales'!N13:N32)&gt;MAX('Lot Sales'!P13:P32),MAX('Lot Sales'!O13:O32)&gt;MAX('Lot Sales'!Q13:Q32),'Con Calculations'!U7&gt;'Con Calculations'!V7,'Con Calculations'!U12&gt;'Con Calculations'!V12),"Yes","No")</f>
        <v>No</v>
      </c>
      <c r="E31" s="38" t="s">
        <v>164</v>
      </c>
      <c r="F31" s="144">
        <f>'Con Sales'!C24</f>
        <v>370000</v>
      </c>
      <c r="G31" s="143">
        <f>'Con Sales'!C25</f>
        <v>270000</v>
      </c>
      <c r="H31" s="279">
        <f>'Con Sales'!D24</f>
        <v>374130.4347826087</v>
      </c>
      <c r="I31" s="145">
        <f>'Con Sales'!D25</f>
        <v>270000</v>
      </c>
      <c r="L31" s="400"/>
      <c r="M31" s="153"/>
    </row>
    <row r="32" spans="2:14" ht="15">
      <c r="B32" s="408"/>
      <c r="C32" s="409"/>
      <c r="E32" s="38" t="s">
        <v>158</v>
      </c>
      <c r="F32" s="280">
        <f>F31-F30</f>
        <v>39590</v>
      </c>
      <c r="G32" s="30">
        <f>G31-G30</f>
        <v>28890</v>
      </c>
      <c r="H32" s="281">
        <f>H31-H30</f>
        <v>40031.956521739194</v>
      </c>
      <c r="I32" s="282">
        <f>I31-I30</f>
        <v>28890</v>
      </c>
      <c r="L32" s="93"/>
      <c r="M32" s="153"/>
      <c r="N32" s="153"/>
    </row>
    <row r="33" spans="2:12" ht="15.75" thickBot="1">
      <c r="B33" s="406"/>
      <c r="C33" s="405"/>
      <c r="E33" s="29" t="s">
        <v>149</v>
      </c>
      <c r="F33" s="283">
        <f>F32/F31</f>
        <v>0.107</v>
      </c>
      <c r="G33" s="284">
        <f>G32/G31</f>
        <v>0.107</v>
      </c>
      <c r="H33" s="285">
        <f>H32/H31</f>
        <v>0.10700000000000016</v>
      </c>
      <c r="I33" s="284">
        <f>I32/I31</f>
        <v>0.107</v>
      </c>
      <c r="L33" s="258"/>
    </row>
    <row r="34" spans="2:3" ht="15">
      <c r="B34" s="406" t="s">
        <v>251</v>
      </c>
      <c r="C34" s="405" t="str">
        <f>IF('Con Sales'!E18&gt;0,"Yes","No")</f>
        <v>Yes</v>
      </c>
    </row>
    <row r="35" spans="2:3" ht="15.75" thickBot="1">
      <c r="B35" s="411"/>
      <c r="C35" s="412"/>
    </row>
    <row r="37" ht="15">
      <c r="F37" s="343"/>
    </row>
    <row r="39" ht="15">
      <c r="F39" s="93"/>
    </row>
    <row r="40" spans="5:10" ht="15">
      <c r="E40"/>
      <c r="J40" s="401"/>
    </row>
    <row r="41" ht="15">
      <c r="D41"/>
    </row>
    <row r="42" ht="15">
      <c r="T42" s="93"/>
    </row>
    <row r="57" ht="15" customHeight="1"/>
    <row r="61" ht="15">
      <c r="F61"/>
    </row>
  </sheetData>
  <sheetProtection password="CFB3" sheet="1"/>
  <mergeCells count="9">
    <mergeCell ref="B3:C3"/>
    <mergeCell ref="B4:C4"/>
    <mergeCell ref="B5:C5"/>
    <mergeCell ref="B6:C6"/>
    <mergeCell ref="J17:K17"/>
    <mergeCell ref="F23:G23"/>
    <mergeCell ref="F17:G17"/>
    <mergeCell ref="H17:I17"/>
    <mergeCell ref="H23:I23"/>
  </mergeCells>
  <printOptions/>
  <pageMargins left="0.75" right="0.75" top="1" bottom="1" header="0.3" footer="0.3"/>
  <pageSetup horizontalDpi="600" verticalDpi="600" orientation="portrait"/>
  <ignoredErrors>
    <ignoredError sqref="C15 C17" formulaRange="1"/>
    <ignoredError sqref="G10" formula="1"/>
  </ignoredErrors>
  <legacyDrawing r:id="rId1"/>
</worksheet>
</file>

<file path=xl/worksheets/sheet3.xml><?xml version="1.0" encoding="utf-8"?>
<worksheet xmlns="http://schemas.openxmlformats.org/spreadsheetml/2006/main" xmlns:r="http://schemas.openxmlformats.org/officeDocument/2006/relationships">
  <sheetPr codeName="Sheet3"/>
  <dimension ref="B3:H47"/>
  <sheetViews>
    <sheetView zoomScale="90" zoomScaleNormal="90" zoomScalePageLayoutView="85" workbookViewId="0" topLeftCell="A15">
      <selection activeCell="J42" sqref="J42"/>
    </sheetView>
  </sheetViews>
  <sheetFormatPr defaultColWidth="8.8515625" defaultRowHeight="15"/>
  <cols>
    <col min="1" max="1" width="9.00390625" style="76" customWidth="1"/>
    <col min="2" max="2" width="35.7109375" style="76" customWidth="1"/>
    <col min="3" max="3" width="22.140625" style="76" customWidth="1"/>
    <col min="4" max="4" width="16.00390625" style="76" customWidth="1"/>
    <col min="5" max="5" width="18.421875" style="76" customWidth="1"/>
    <col min="6" max="6" width="9.8515625" style="76" customWidth="1"/>
    <col min="7" max="7" width="27.421875" style="76" bestFit="1" customWidth="1"/>
    <col min="8" max="8" width="13.421875" style="76" bestFit="1" customWidth="1"/>
    <col min="9" max="9" width="14.00390625" style="76" customWidth="1"/>
    <col min="10" max="10" width="15.421875" style="76" bestFit="1" customWidth="1"/>
    <col min="11" max="11" width="13.00390625" style="76" customWidth="1"/>
    <col min="12" max="16384" width="8.8515625" style="76" customWidth="1"/>
  </cols>
  <sheetData>
    <row r="2" ht="15.75" thickBot="1"/>
    <row r="3" spans="2:3" ht="15">
      <c r="B3" s="14" t="s">
        <v>63</v>
      </c>
      <c r="C3" s="20"/>
    </row>
    <row r="4" spans="2:3" ht="15.75" thickBot="1">
      <c r="B4" s="11"/>
      <c r="C4" s="3"/>
    </row>
    <row r="5" spans="2:3" ht="15.75" thickBot="1">
      <c r="B5" s="82" t="s">
        <v>64</v>
      </c>
      <c r="C5" s="427" t="s">
        <v>69</v>
      </c>
    </row>
    <row r="6" spans="2:3" ht="15.75" thickBot="1">
      <c r="B6" s="82" t="s">
        <v>65</v>
      </c>
      <c r="C6" s="427" t="s">
        <v>67</v>
      </c>
    </row>
    <row r="7" spans="2:3" ht="15.75" thickBot="1">
      <c r="B7" s="82" t="s">
        <v>66</v>
      </c>
      <c r="C7" s="427" t="s">
        <v>68</v>
      </c>
    </row>
    <row r="8" spans="2:3" ht="15.75" thickBot="1">
      <c r="B8" s="107"/>
      <c r="C8" s="108"/>
    </row>
    <row r="9" ht="15.75" thickBot="1"/>
    <row r="10" spans="2:5" ht="15">
      <c r="B10" s="14" t="s">
        <v>21</v>
      </c>
      <c r="C10" s="20" t="s">
        <v>4</v>
      </c>
      <c r="D10" s="21" t="s">
        <v>0</v>
      </c>
      <c r="E10" s="4"/>
    </row>
    <row r="11" spans="2:5" ht="15.75" thickBot="1">
      <c r="B11" s="11"/>
      <c r="C11" s="3"/>
      <c r="D11" s="15"/>
      <c r="E11" s="5"/>
    </row>
    <row r="12" spans="2:5" ht="15.75" thickBot="1">
      <c r="B12" s="82" t="s">
        <v>18</v>
      </c>
      <c r="C12" s="426">
        <v>50</v>
      </c>
      <c r="D12" s="428">
        <v>60</v>
      </c>
      <c r="E12" s="49">
        <f>IF(ISBLANK(D12),C12,D12)</f>
        <v>60</v>
      </c>
    </row>
    <row r="13" spans="2:5" ht="15.75" thickBot="1">
      <c r="B13" s="82" t="s">
        <v>29</v>
      </c>
      <c r="C13" s="429">
        <v>0.2</v>
      </c>
      <c r="D13" s="430"/>
      <c r="E13" s="50">
        <f>IF(ISBLANK(D13),C13,D13)</f>
        <v>0.2</v>
      </c>
    </row>
    <row r="14" spans="2:5" ht="15.75" thickBot="1">
      <c r="B14" s="107"/>
      <c r="C14" s="108"/>
      <c r="D14" s="6"/>
      <c r="E14" s="51"/>
    </row>
    <row r="15" spans="2:5" ht="15">
      <c r="B15" s="14" t="s">
        <v>42</v>
      </c>
      <c r="C15" s="20" t="s">
        <v>4</v>
      </c>
      <c r="D15" s="21" t="s">
        <v>0</v>
      </c>
      <c r="E15" s="52"/>
    </row>
    <row r="16" spans="2:5" ht="15.75" thickBot="1">
      <c r="B16" s="11"/>
      <c r="C16" s="36"/>
      <c r="D16" s="37"/>
      <c r="E16" s="49"/>
    </row>
    <row r="17" spans="2:5" ht="15.75" thickBot="1">
      <c r="B17" s="82" t="s">
        <v>19</v>
      </c>
      <c r="C17" s="431">
        <v>90000</v>
      </c>
      <c r="D17" s="432"/>
      <c r="E17" s="53">
        <f>IF(ISBLANK(D17),C17,D17)</f>
        <v>90000</v>
      </c>
    </row>
    <row r="18" spans="2:5" ht="15.75" thickBot="1">
      <c r="B18" s="82" t="s">
        <v>1</v>
      </c>
      <c r="C18" s="433">
        <v>10000</v>
      </c>
      <c r="D18" s="434"/>
      <c r="E18" s="53">
        <f>IF(ISBLANK(D18),C18,D18)</f>
        <v>10000</v>
      </c>
    </row>
    <row r="19" spans="2:5" ht="15.75" thickBot="1">
      <c r="B19" s="82" t="s">
        <v>10</v>
      </c>
      <c r="C19" s="433">
        <v>10000</v>
      </c>
      <c r="D19" s="434"/>
      <c r="E19" s="53">
        <f>IF(ISBLANK(D19),C19,D19)</f>
        <v>10000</v>
      </c>
    </row>
    <row r="20" spans="2:5" ht="15.75" thickBot="1">
      <c r="B20" s="82" t="s">
        <v>15</v>
      </c>
      <c r="C20" s="433"/>
      <c r="D20" s="434"/>
      <c r="E20" s="53">
        <f>IF(ISBLANK(D20),C20,D20)</f>
        <v>0</v>
      </c>
    </row>
    <row r="21" spans="2:5" ht="15.75" thickBot="1">
      <c r="B21" s="82"/>
      <c r="C21" s="103"/>
      <c r="D21" s="6"/>
      <c r="E21" s="51"/>
    </row>
    <row r="22" spans="2:5" ht="15">
      <c r="B22" s="196" t="s">
        <v>25</v>
      </c>
      <c r="C22" s="197" t="s">
        <v>4</v>
      </c>
      <c r="D22" s="21" t="s">
        <v>0</v>
      </c>
      <c r="E22" s="52"/>
    </row>
    <row r="23" spans="2:5" ht="15.75" thickBot="1">
      <c r="B23" s="198"/>
      <c r="C23" s="199"/>
      <c r="D23" s="37"/>
      <c r="E23" s="49"/>
    </row>
    <row r="24" spans="2:8" ht="15.75" thickBot="1">
      <c r="B24" s="200" t="s">
        <v>23</v>
      </c>
      <c r="C24" s="435">
        <v>25000</v>
      </c>
      <c r="D24" s="432"/>
      <c r="E24" s="53">
        <f aca="true" t="shared" si="0" ref="E24:E39">IF(ISBLANK(D24),C24,D24)</f>
        <v>25000</v>
      </c>
      <c r="H24" s="153"/>
    </row>
    <row r="25" spans="2:5" ht="15.75" thickBot="1">
      <c r="B25" s="200" t="s">
        <v>22</v>
      </c>
      <c r="C25" s="435">
        <v>60000</v>
      </c>
      <c r="D25" s="432"/>
      <c r="E25" s="53">
        <f t="shared" si="0"/>
        <v>60000</v>
      </c>
    </row>
    <row r="26" spans="2:5" ht="15.75" thickBot="1">
      <c r="B26" s="200" t="s">
        <v>24</v>
      </c>
      <c r="C26" s="435">
        <v>50000</v>
      </c>
      <c r="D26" s="432"/>
      <c r="E26" s="53">
        <f t="shared" si="0"/>
        <v>50000</v>
      </c>
    </row>
    <row r="27" spans="2:5" ht="15.75" thickBot="1">
      <c r="B27" s="200" t="s">
        <v>9</v>
      </c>
      <c r="C27" s="435">
        <v>50000</v>
      </c>
      <c r="D27" s="432"/>
      <c r="E27" s="53">
        <f t="shared" si="0"/>
        <v>50000</v>
      </c>
    </row>
    <row r="28" spans="2:5" ht="15.75" thickBot="1">
      <c r="B28" s="200" t="s">
        <v>31</v>
      </c>
      <c r="C28" s="435">
        <v>250000</v>
      </c>
      <c r="D28" s="432"/>
      <c r="E28" s="53">
        <f t="shared" si="0"/>
        <v>250000</v>
      </c>
    </row>
    <row r="29" spans="2:5" ht="15.75" thickBot="1">
      <c r="B29" s="200" t="s">
        <v>32</v>
      </c>
      <c r="C29" s="435">
        <v>120000</v>
      </c>
      <c r="D29" s="432"/>
      <c r="E29" s="53">
        <f t="shared" si="0"/>
        <v>120000</v>
      </c>
    </row>
    <row r="30" spans="2:5" ht="15.75" thickBot="1">
      <c r="B30" s="200" t="s">
        <v>33</v>
      </c>
      <c r="C30" s="435">
        <v>200000</v>
      </c>
      <c r="D30" s="432"/>
      <c r="E30" s="53">
        <f t="shared" si="0"/>
        <v>200000</v>
      </c>
    </row>
    <row r="31" spans="2:5" ht="15.75" thickBot="1">
      <c r="B31" s="200" t="s">
        <v>16</v>
      </c>
      <c r="C31" s="435">
        <v>200000</v>
      </c>
      <c r="D31" s="432"/>
      <c r="E31" s="53">
        <f t="shared" si="0"/>
        <v>200000</v>
      </c>
    </row>
    <row r="32" spans="2:5" ht="15.75" thickBot="1">
      <c r="B32" s="200" t="s">
        <v>56</v>
      </c>
      <c r="C32" s="435">
        <v>200000</v>
      </c>
      <c r="D32" s="432"/>
      <c r="E32" s="53">
        <f t="shared" si="0"/>
        <v>200000</v>
      </c>
    </row>
    <row r="33" spans="2:7" ht="15.75" thickBot="1">
      <c r="B33" s="200" t="s">
        <v>34</v>
      </c>
      <c r="C33" s="435">
        <v>250000</v>
      </c>
      <c r="D33" s="432"/>
      <c r="E33" s="53">
        <f t="shared" si="0"/>
        <v>250000</v>
      </c>
      <c r="G33" s="153"/>
    </row>
    <row r="34" spans="2:5" ht="15.75" thickBot="1">
      <c r="B34" s="200" t="s">
        <v>248</v>
      </c>
      <c r="C34" s="435">
        <v>25000</v>
      </c>
      <c r="D34" s="432"/>
      <c r="E34" s="53">
        <f t="shared" si="0"/>
        <v>25000</v>
      </c>
    </row>
    <row r="35" spans="2:5" ht="15.75" thickBot="1">
      <c r="B35" s="200" t="s">
        <v>30</v>
      </c>
      <c r="C35" s="435">
        <v>25000</v>
      </c>
      <c r="D35" s="432"/>
      <c r="E35" s="53">
        <f t="shared" si="0"/>
        <v>25000</v>
      </c>
    </row>
    <row r="36" spans="2:5" ht="15.75" thickBot="1">
      <c r="B36" s="200" t="s">
        <v>71</v>
      </c>
      <c r="C36" s="435">
        <v>0</v>
      </c>
      <c r="D36" s="432"/>
      <c r="E36" s="53">
        <f t="shared" si="0"/>
        <v>0</v>
      </c>
    </row>
    <row r="37" spans="2:5" ht="15.75" thickBot="1">
      <c r="B37" s="200" t="s">
        <v>249</v>
      </c>
      <c r="C37" s="436">
        <v>220000</v>
      </c>
      <c r="D37" s="434"/>
      <c r="E37" s="53">
        <f t="shared" si="0"/>
        <v>220000</v>
      </c>
    </row>
    <row r="38" spans="2:6" ht="15.75" thickBot="1">
      <c r="B38" s="201" t="s">
        <v>105</v>
      </c>
      <c r="C38" s="437">
        <v>0</v>
      </c>
      <c r="D38" s="434"/>
      <c r="E38" s="53">
        <f>IF(ISBLANK(D38),C38,D38)</f>
        <v>0</v>
      </c>
      <c r="F38" s="1"/>
    </row>
    <row r="39" spans="2:5" ht="15.75" thickBot="1">
      <c r="B39" s="200" t="s">
        <v>57</v>
      </c>
      <c r="C39" s="438"/>
      <c r="D39" s="432"/>
      <c r="E39" s="53">
        <f t="shared" si="0"/>
        <v>0</v>
      </c>
    </row>
    <row r="40" spans="2:5" ht="15.75" thickBot="1">
      <c r="B40" s="202"/>
      <c r="C40" s="203"/>
      <c r="D40" s="6"/>
      <c r="E40" s="48"/>
    </row>
    <row r="41" ht="15.75" thickBot="1"/>
    <row r="42" spans="2:5" ht="15">
      <c r="B42" s="19" t="s">
        <v>61</v>
      </c>
      <c r="C42" s="171" t="s">
        <v>4</v>
      </c>
      <c r="D42" s="166"/>
      <c r="E42" s="22" t="s">
        <v>0</v>
      </c>
    </row>
    <row r="43" spans="2:5" ht="15">
      <c r="B43" s="39"/>
      <c r="C43" s="30"/>
      <c r="D43" s="167"/>
      <c r="E43" s="150"/>
    </row>
    <row r="44" spans="2:5" ht="15">
      <c r="B44" s="39" t="s">
        <v>45</v>
      </c>
      <c r="C44" s="7">
        <f>SUM(C17:C19)</f>
        <v>110000</v>
      </c>
      <c r="D44" s="168"/>
      <c r="E44" s="150">
        <f>SUM(E17:E19)</f>
        <v>110000</v>
      </c>
    </row>
    <row r="45" spans="2:5" ht="15">
      <c r="B45" s="10" t="s">
        <v>46</v>
      </c>
      <c r="C45" s="33">
        <f>SUM(C24:C39)</f>
        <v>1675000</v>
      </c>
      <c r="D45" s="169"/>
      <c r="E45" s="9">
        <f>SUM(E24:E39)</f>
        <v>1675000</v>
      </c>
    </row>
    <row r="46" spans="2:5" ht="15">
      <c r="B46" s="39" t="s">
        <v>43</v>
      </c>
      <c r="C46" s="152">
        <f>SUM(C44:C45)</f>
        <v>1785000</v>
      </c>
      <c r="D46" s="170"/>
      <c r="E46" s="150">
        <f>SUM(E44:E45)</f>
        <v>1785000</v>
      </c>
    </row>
    <row r="47" spans="2:5" ht="15.75" thickBot="1">
      <c r="B47" s="29"/>
      <c r="C47" s="96"/>
      <c r="D47" s="29"/>
      <c r="E47" s="96"/>
    </row>
  </sheetData>
  <sheetProtection password="CFB3" sheet="1" objects="1" scenarios="1"/>
  <printOptions/>
  <pageMargins left="0.75" right="0.75" top="1" bottom="1" header="0.3" footer="0.3"/>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codeName="Sheet4"/>
  <dimension ref="B1:AC47"/>
  <sheetViews>
    <sheetView zoomScale="90" zoomScaleNormal="90" zoomScalePageLayoutView="85" workbookViewId="0" topLeftCell="A7">
      <selection activeCell="C6" sqref="C6"/>
    </sheetView>
  </sheetViews>
  <sheetFormatPr defaultColWidth="8.8515625" defaultRowHeight="15"/>
  <cols>
    <col min="1" max="1" width="5.7109375" style="76" customWidth="1"/>
    <col min="2" max="2" width="28.8515625" style="76" bestFit="1" customWidth="1"/>
    <col min="3" max="3" width="13.421875" style="76" bestFit="1" customWidth="1"/>
    <col min="4" max="4" width="15.00390625" style="76" bestFit="1" customWidth="1"/>
    <col min="5" max="5" width="17.140625" style="76" bestFit="1" customWidth="1"/>
    <col min="6" max="6" width="5.00390625" style="76" customWidth="1"/>
    <col min="7" max="7" width="29.421875" style="76" customWidth="1"/>
    <col min="8" max="8" width="15.421875" style="76" customWidth="1"/>
    <col min="9" max="9" width="13.8515625" style="76" customWidth="1"/>
    <col min="10" max="10" width="18.421875" style="76" bestFit="1" customWidth="1"/>
    <col min="11" max="11" width="5.140625" style="76" customWidth="1"/>
    <col min="12" max="12" width="18.421875" style="76" bestFit="1" customWidth="1"/>
    <col min="13" max="13" width="15.140625" style="76" bestFit="1" customWidth="1"/>
    <col min="14" max="14" width="17.28125" style="76" customWidth="1"/>
    <col min="15" max="15" width="17.7109375" style="76" customWidth="1"/>
    <col min="16" max="16" width="3.28125" style="76" customWidth="1"/>
    <col min="17" max="17" width="13.421875" style="76" bestFit="1" customWidth="1"/>
    <col min="18" max="18" width="16.421875" style="76" bestFit="1" customWidth="1"/>
    <col min="19" max="19" width="11.7109375" style="76" bestFit="1" customWidth="1"/>
    <col min="20" max="20" width="13.140625" style="76" bestFit="1" customWidth="1"/>
    <col min="21" max="21" width="16.421875" style="76" bestFit="1" customWidth="1"/>
    <col min="22" max="16384" width="8.8515625" style="76" customWidth="1"/>
  </cols>
  <sheetData>
    <row r="1" spans="9:12" ht="15">
      <c r="I1" s="2"/>
      <c r="J1" s="2"/>
      <c r="K1" s="2"/>
      <c r="L1" s="2"/>
    </row>
    <row r="2" ht="15.75" thickBot="1"/>
    <row r="3" spans="2:5" ht="15.75" thickBot="1">
      <c r="B3" s="14" t="s">
        <v>59</v>
      </c>
      <c r="C3" s="25" t="s">
        <v>4</v>
      </c>
      <c r="D3" s="26" t="s">
        <v>0</v>
      </c>
      <c r="E3" s="77"/>
    </row>
    <row r="4" spans="2:12" ht="15.75" thickBot="1">
      <c r="B4" s="78"/>
      <c r="C4" s="79"/>
      <c r="D4" s="80"/>
      <c r="E4" s="81"/>
      <c r="J4" s="204" t="s">
        <v>82</v>
      </c>
      <c r="K4" s="205"/>
      <c r="L4" s="206"/>
    </row>
    <row r="5" spans="2:12" ht="15.75" thickBot="1">
      <c r="B5" s="82" t="s">
        <v>180</v>
      </c>
      <c r="C5" s="439">
        <v>1440000</v>
      </c>
      <c r="D5" s="440"/>
      <c r="E5" s="83">
        <f>IF(AND(NOT(D5&gt;0),NOT(C5&gt;0)),"",IF(NOT(D5&gt;0),'A&amp;D Financing'!C5,D5))</f>
        <v>1440000</v>
      </c>
      <c r="J5" s="207"/>
      <c r="K5" s="208"/>
      <c r="L5" s="209"/>
    </row>
    <row r="6" spans="2:12" ht="15.75" thickBot="1">
      <c r="B6" s="82" t="s">
        <v>44</v>
      </c>
      <c r="C6" s="86"/>
      <c r="D6" s="87"/>
      <c r="E6" s="88"/>
      <c r="J6" s="210"/>
      <c r="K6" s="211"/>
      <c r="L6" s="212"/>
    </row>
    <row r="7" spans="2:12" ht="15.75" thickBot="1">
      <c r="B7" s="82" t="s">
        <v>187</v>
      </c>
      <c r="C7" s="441"/>
      <c r="D7" s="442"/>
      <c r="E7" s="89">
        <f>IF(ISNUMBER(E5),"",IF(ISBLANK(D7),'A&amp;D Financing'!C7,D7))</f>
      </c>
      <c r="J7" s="207" t="s">
        <v>187</v>
      </c>
      <c r="K7" s="208"/>
      <c r="L7" s="213">
        <v>0.7683</v>
      </c>
    </row>
    <row r="8" spans="2:12" ht="15.75" thickBot="1">
      <c r="B8" s="82"/>
      <c r="C8" s="90"/>
      <c r="D8" s="91"/>
      <c r="E8" s="89"/>
      <c r="J8" s="207"/>
      <c r="K8" s="208"/>
      <c r="L8" s="213"/>
    </row>
    <row r="9" spans="2:29" ht="15.75" thickBot="1">
      <c r="B9" s="82" t="s">
        <v>11</v>
      </c>
      <c r="C9" s="441">
        <v>0.065</v>
      </c>
      <c r="D9" s="442"/>
      <c r="E9" s="89">
        <f>IF(ISBLANK(D9),'A&amp;D Financing'!C9,D9)</f>
        <v>0.065</v>
      </c>
      <c r="J9" s="207" t="s">
        <v>11</v>
      </c>
      <c r="K9" s="208"/>
      <c r="L9" s="213">
        <v>0.0649</v>
      </c>
      <c r="W9" s="93"/>
      <c r="X9" s="93"/>
      <c r="Y9" s="93"/>
      <c r="Z9" s="93"/>
      <c r="AA9" s="93"/>
      <c r="AB9" s="93"/>
      <c r="AC9" s="93"/>
    </row>
    <row r="10" spans="2:29" ht="15.75" thickBot="1">
      <c r="B10" s="82"/>
      <c r="C10" s="90"/>
      <c r="D10" s="91"/>
      <c r="E10" s="89"/>
      <c r="J10" s="207"/>
      <c r="K10" s="208"/>
      <c r="L10" s="213"/>
      <c r="W10" s="93"/>
      <c r="X10" s="93"/>
      <c r="Y10" s="93"/>
      <c r="Z10" s="93"/>
      <c r="AA10" s="93"/>
      <c r="AB10" s="93"/>
      <c r="AC10" s="93"/>
    </row>
    <row r="11" spans="2:29" ht="15.75" thickBot="1">
      <c r="B11" s="82" t="s">
        <v>91</v>
      </c>
      <c r="C11" s="441">
        <v>0.01</v>
      </c>
      <c r="D11" s="442"/>
      <c r="E11" s="89">
        <f>IF(ISBLANK(D11),'A&amp;D Financing'!C11,D11)</f>
        <v>0.01</v>
      </c>
      <c r="J11" s="207" t="s">
        <v>91</v>
      </c>
      <c r="K11" s="208"/>
      <c r="L11" s="213">
        <v>0.0103</v>
      </c>
      <c r="W11" s="93"/>
      <c r="X11" s="93"/>
      <c r="Y11" s="93"/>
      <c r="Z11" s="93"/>
      <c r="AA11" s="93"/>
      <c r="AB11" s="93"/>
      <c r="AC11" s="93"/>
    </row>
    <row r="12" spans="2:24" ht="15.75" thickBot="1">
      <c r="B12" s="97"/>
      <c r="C12" s="98"/>
      <c r="D12" s="99"/>
      <c r="E12" s="100"/>
      <c r="J12" s="214"/>
      <c r="K12" s="215"/>
      <c r="L12" s="216"/>
      <c r="W12" s="93"/>
      <c r="X12" s="93"/>
    </row>
    <row r="13" ht="15.75" thickBot="1">
      <c r="E13" s="101"/>
    </row>
    <row r="14" spans="2:20" ht="15">
      <c r="B14" s="14" t="s">
        <v>183</v>
      </c>
      <c r="C14" s="27" t="s">
        <v>4</v>
      </c>
      <c r="D14" s="26" t="s">
        <v>0</v>
      </c>
      <c r="E14" s="102"/>
      <c r="G14" s="14" t="s">
        <v>183</v>
      </c>
      <c r="H14" s="27" t="s">
        <v>4</v>
      </c>
      <c r="I14" s="26" t="s">
        <v>0</v>
      </c>
      <c r="J14" s="102"/>
      <c r="L14" s="520" t="s">
        <v>4</v>
      </c>
      <c r="M14" s="521"/>
      <c r="N14" s="522" t="s">
        <v>0</v>
      </c>
      <c r="O14" s="523"/>
      <c r="Q14" s="204" t="s">
        <v>232</v>
      </c>
      <c r="R14" s="205"/>
      <c r="S14" s="332" t="s">
        <v>4</v>
      </c>
      <c r="T14" s="333" t="s">
        <v>0</v>
      </c>
    </row>
    <row r="15" spans="2:20" ht="15.75" thickBot="1">
      <c r="B15" s="11" t="s">
        <v>184</v>
      </c>
      <c r="C15" s="103"/>
      <c r="D15" s="104"/>
      <c r="E15" s="105"/>
      <c r="G15" s="11" t="s">
        <v>185</v>
      </c>
      <c r="H15" s="103"/>
      <c r="I15" s="104"/>
      <c r="J15" s="105"/>
      <c r="L15" s="82" t="s">
        <v>159</v>
      </c>
      <c r="M15" s="103" t="s">
        <v>92</v>
      </c>
      <c r="N15" s="113" t="s">
        <v>159</v>
      </c>
      <c r="O15" s="114" t="s">
        <v>92</v>
      </c>
      <c r="Q15" s="207"/>
      <c r="R15" s="208"/>
      <c r="S15" s="208"/>
      <c r="T15" s="209"/>
    </row>
    <row r="16" spans="2:20" ht="15.75" thickBot="1">
      <c r="B16" s="82">
        <v>1</v>
      </c>
      <c r="C16" s="443">
        <v>0.65</v>
      </c>
      <c r="D16" s="444"/>
      <c r="E16" s="106">
        <f>IF(ISBLANK(D16),'A&amp;D Financing'!C16,D16)</f>
        <v>0.65</v>
      </c>
      <c r="G16" s="82">
        <v>1</v>
      </c>
      <c r="H16" s="443">
        <v>0.75</v>
      </c>
      <c r="I16" s="444"/>
      <c r="J16" s="106">
        <f>IF(ISBLANK(I16),'A&amp;D Financing'!H16,I16)</f>
        <v>0.75</v>
      </c>
      <c r="L16" s="183">
        <f>IF(NOT($C$5=""),C16*$S$16*$D$43,C16*H16*$D$43)</f>
        <v>936000</v>
      </c>
      <c r="M16" s="182">
        <f aca="true" t="shared" si="0" ref="M16:M35">C16*$D$43-L16</f>
        <v>224250</v>
      </c>
      <c r="N16" s="180">
        <f>IF(NOT($E$5=""),E16*$T$16*$E$43,E16*J16*$E$43)</f>
        <v>936000</v>
      </c>
      <c r="O16" s="95">
        <f aca="true" t="shared" si="1" ref="O16:O35">E16*$E$43-N16</f>
        <v>224250</v>
      </c>
      <c r="Q16" s="207" t="s">
        <v>188</v>
      </c>
      <c r="R16" s="208"/>
      <c r="S16" s="334">
        <f>D46</f>
        <v>0.8067226890756303</v>
      </c>
      <c r="T16" s="213">
        <f>E46</f>
        <v>0.8067226890756303</v>
      </c>
    </row>
    <row r="17" spans="2:20" ht="15.75" thickBot="1">
      <c r="B17" s="82">
        <f aca="true" t="shared" si="2" ref="B17:B35">B16+1</f>
        <v>2</v>
      </c>
      <c r="C17" s="443">
        <v>0.35</v>
      </c>
      <c r="D17" s="444"/>
      <c r="E17" s="106">
        <f>IF(ISBLANK(D17),'A&amp;D Financing'!C17,D17)</f>
        <v>0.35</v>
      </c>
      <c r="G17" s="82">
        <f aca="true" t="shared" si="3" ref="G17:G35">G16+1</f>
        <v>2</v>
      </c>
      <c r="H17" s="443">
        <v>0.75</v>
      </c>
      <c r="I17" s="444"/>
      <c r="J17" s="106">
        <f>IF(ISBLANK(I17),'A&amp;D Financing'!H17,I17)</f>
        <v>0.75</v>
      </c>
      <c r="L17" s="183">
        <f aca="true" t="shared" si="4" ref="L17:L35">IF(NOT($C$5=""),C17*$S$16*$D$43,C17*H17*$D$43)</f>
        <v>504000</v>
      </c>
      <c r="M17" s="182">
        <f t="shared" si="0"/>
        <v>120750</v>
      </c>
      <c r="N17" s="180">
        <f aca="true" t="shared" si="5" ref="N17:N35">IF(NOT($E$5=""),E17*$T$16*$E$43,E17*J17*$E$43)</f>
        <v>504000</v>
      </c>
      <c r="O17" s="95">
        <f t="shared" si="1"/>
        <v>120750</v>
      </c>
      <c r="Q17" s="214" t="s">
        <v>182</v>
      </c>
      <c r="R17" s="215"/>
      <c r="S17" s="215"/>
      <c r="T17" s="326"/>
    </row>
    <row r="18" spans="2:15" ht="15.75" thickBot="1">
      <c r="B18" s="82">
        <f t="shared" si="2"/>
        <v>3</v>
      </c>
      <c r="C18" s="443">
        <v>0</v>
      </c>
      <c r="D18" s="444"/>
      <c r="E18" s="106">
        <f>IF(ISBLANK(D18),'A&amp;D Financing'!C18,D18)</f>
        <v>0</v>
      </c>
      <c r="G18" s="82">
        <f t="shared" si="3"/>
        <v>3</v>
      </c>
      <c r="H18" s="443">
        <v>0</v>
      </c>
      <c r="I18" s="444"/>
      <c r="J18" s="106">
        <f>IF(ISBLANK(I18),'A&amp;D Financing'!H18,I18)</f>
        <v>0</v>
      </c>
      <c r="L18" s="183">
        <f t="shared" si="4"/>
        <v>0</v>
      </c>
      <c r="M18" s="182">
        <f t="shared" si="0"/>
        <v>0</v>
      </c>
      <c r="N18" s="180">
        <f t="shared" si="5"/>
        <v>0</v>
      </c>
      <c r="O18" s="95">
        <f t="shared" si="1"/>
        <v>0</v>
      </c>
    </row>
    <row r="19" spans="2:15" ht="15.75" thickBot="1">
      <c r="B19" s="82">
        <f t="shared" si="2"/>
        <v>4</v>
      </c>
      <c r="C19" s="443">
        <v>0</v>
      </c>
      <c r="D19" s="444"/>
      <c r="E19" s="106">
        <f>IF(ISBLANK(D19),'A&amp;D Financing'!C19,D19)</f>
        <v>0</v>
      </c>
      <c r="G19" s="82">
        <f t="shared" si="3"/>
        <v>4</v>
      </c>
      <c r="H19" s="443">
        <v>0</v>
      </c>
      <c r="I19" s="444"/>
      <c r="J19" s="106">
        <f>IF(ISBLANK(I19),'A&amp;D Financing'!H19,I19)</f>
        <v>0</v>
      </c>
      <c r="L19" s="183">
        <f t="shared" si="4"/>
        <v>0</v>
      </c>
      <c r="M19" s="182">
        <f t="shared" si="0"/>
        <v>0</v>
      </c>
      <c r="N19" s="180">
        <f t="shared" si="5"/>
        <v>0</v>
      </c>
      <c r="O19" s="95">
        <f t="shared" si="1"/>
        <v>0</v>
      </c>
    </row>
    <row r="20" spans="2:15" ht="15.75" thickBot="1">
      <c r="B20" s="82">
        <f t="shared" si="2"/>
        <v>5</v>
      </c>
      <c r="C20" s="443">
        <v>0</v>
      </c>
      <c r="D20" s="444"/>
      <c r="E20" s="106">
        <f>IF(ISBLANK(D20),'A&amp;D Financing'!C20,D20)</f>
        <v>0</v>
      </c>
      <c r="G20" s="82">
        <f t="shared" si="3"/>
        <v>5</v>
      </c>
      <c r="H20" s="443">
        <v>0</v>
      </c>
      <c r="I20" s="444"/>
      <c r="J20" s="106">
        <f>IF(ISBLANK(I20),'A&amp;D Financing'!H20,I20)</f>
        <v>0</v>
      </c>
      <c r="L20" s="183">
        <f t="shared" si="4"/>
        <v>0</v>
      </c>
      <c r="M20" s="182">
        <f t="shared" si="0"/>
        <v>0</v>
      </c>
      <c r="N20" s="180">
        <f t="shared" si="5"/>
        <v>0</v>
      </c>
      <c r="O20" s="95">
        <f t="shared" si="1"/>
        <v>0</v>
      </c>
    </row>
    <row r="21" spans="2:15" ht="15.75" thickBot="1">
      <c r="B21" s="82">
        <f t="shared" si="2"/>
        <v>6</v>
      </c>
      <c r="C21" s="443">
        <v>0</v>
      </c>
      <c r="D21" s="444"/>
      <c r="E21" s="106">
        <f>IF(ISBLANK(D21),'A&amp;D Financing'!C21,D21)</f>
        <v>0</v>
      </c>
      <c r="G21" s="82">
        <f t="shared" si="3"/>
        <v>6</v>
      </c>
      <c r="H21" s="443">
        <v>0</v>
      </c>
      <c r="I21" s="444"/>
      <c r="J21" s="106">
        <f>IF(ISBLANK(I21),'A&amp;D Financing'!H21,I21)</f>
        <v>0</v>
      </c>
      <c r="L21" s="183">
        <f t="shared" si="4"/>
        <v>0</v>
      </c>
      <c r="M21" s="182">
        <f t="shared" si="0"/>
        <v>0</v>
      </c>
      <c r="N21" s="180">
        <f t="shared" si="5"/>
        <v>0</v>
      </c>
      <c r="O21" s="95">
        <f t="shared" si="1"/>
        <v>0</v>
      </c>
    </row>
    <row r="22" spans="2:15" ht="15.75" thickBot="1">
      <c r="B22" s="82">
        <f t="shared" si="2"/>
        <v>7</v>
      </c>
      <c r="C22" s="443">
        <v>0</v>
      </c>
      <c r="D22" s="444"/>
      <c r="E22" s="106">
        <f>IF(ISBLANK(D22),'A&amp;D Financing'!C22,D22)</f>
        <v>0</v>
      </c>
      <c r="G22" s="82">
        <f t="shared" si="3"/>
        <v>7</v>
      </c>
      <c r="H22" s="443">
        <v>0</v>
      </c>
      <c r="I22" s="444"/>
      <c r="J22" s="106">
        <f>IF(ISBLANK(I22),'A&amp;D Financing'!H22,I22)</f>
        <v>0</v>
      </c>
      <c r="L22" s="183">
        <f t="shared" si="4"/>
        <v>0</v>
      </c>
      <c r="M22" s="182">
        <f t="shared" si="0"/>
        <v>0</v>
      </c>
      <c r="N22" s="180">
        <f t="shared" si="5"/>
        <v>0</v>
      </c>
      <c r="O22" s="95">
        <f t="shared" si="1"/>
        <v>0</v>
      </c>
    </row>
    <row r="23" spans="2:15" ht="15.75" thickBot="1">
      <c r="B23" s="82">
        <f t="shared" si="2"/>
        <v>8</v>
      </c>
      <c r="C23" s="443">
        <v>0</v>
      </c>
      <c r="D23" s="444"/>
      <c r="E23" s="106">
        <f>IF(ISBLANK(D23),'A&amp;D Financing'!C23,D23)</f>
        <v>0</v>
      </c>
      <c r="G23" s="82">
        <f t="shared" si="3"/>
        <v>8</v>
      </c>
      <c r="H23" s="443">
        <v>0</v>
      </c>
      <c r="I23" s="444"/>
      <c r="J23" s="106">
        <f>IF(ISBLANK(I23),'A&amp;D Financing'!H23,I23)</f>
        <v>0</v>
      </c>
      <c r="L23" s="183">
        <f t="shared" si="4"/>
        <v>0</v>
      </c>
      <c r="M23" s="182">
        <f t="shared" si="0"/>
        <v>0</v>
      </c>
      <c r="N23" s="180">
        <f t="shared" si="5"/>
        <v>0</v>
      </c>
      <c r="O23" s="95">
        <f t="shared" si="1"/>
        <v>0</v>
      </c>
    </row>
    <row r="24" spans="2:15" ht="15.75" thickBot="1">
      <c r="B24" s="82">
        <f t="shared" si="2"/>
        <v>9</v>
      </c>
      <c r="C24" s="443">
        <v>0</v>
      </c>
      <c r="D24" s="444"/>
      <c r="E24" s="106">
        <f>IF(ISBLANK(D24),'A&amp;D Financing'!C24,D24)</f>
        <v>0</v>
      </c>
      <c r="G24" s="82">
        <f t="shared" si="3"/>
        <v>9</v>
      </c>
      <c r="H24" s="443">
        <v>0</v>
      </c>
      <c r="I24" s="444"/>
      <c r="J24" s="106">
        <f>IF(ISBLANK(I24),'A&amp;D Financing'!H24,I24)</f>
        <v>0</v>
      </c>
      <c r="L24" s="183">
        <f t="shared" si="4"/>
        <v>0</v>
      </c>
      <c r="M24" s="182">
        <f t="shared" si="0"/>
        <v>0</v>
      </c>
      <c r="N24" s="180">
        <f t="shared" si="5"/>
        <v>0</v>
      </c>
      <c r="O24" s="95">
        <f t="shared" si="1"/>
        <v>0</v>
      </c>
    </row>
    <row r="25" spans="2:15" ht="15.75" thickBot="1">
      <c r="B25" s="82">
        <f t="shared" si="2"/>
        <v>10</v>
      </c>
      <c r="C25" s="443">
        <v>0</v>
      </c>
      <c r="D25" s="444"/>
      <c r="E25" s="106">
        <f>IF(ISBLANK(D25),'A&amp;D Financing'!C25,D25)</f>
        <v>0</v>
      </c>
      <c r="G25" s="82">
        <f t="shared" si="3"/>
        <v>10</v>
      </c>
      <c r="H25" s="443">
        <v>0</v>
      </c>
      <c r="I25" s="444"/>
      <c r="J25" s="106">
        <f>IF(ISBLANK(I25),'A&amp;D Financing'!H25,I25)</f>
        <v>0</v>
      </c>
      <c r="L25" s="183">
        <f t="shared" si="4"/>
        <v>0</v>
      </c>
      <c r="M25" s="182">
        <f t="shared" si="0"/>
        <v>0</v>
      </c>
      <c r="N25" s="180">
        <f t="shared" si="5"/>
        <v>0</v>
      </c>
      <c r="O25" s="95">
        <f t="shared" si="1"/>
        <v>0</v>
      </c>
    </row>
    <row r="26" spans="2:15" ht="15.75" thickBot="1">
      <c r="B26" s="82">
        <f t="shared" si="2"/>
        <v>11</v>
      </c>
      <c r="C26" s="443">
        <v>0</v>
      </c>
      <c r="D26" s="444"/>
      <c r="E26" s="106">
        <f>IF(ISBLANK(D26),'A&amp;D Financing'!C26,D26)</f>
        <v>0</v>
      </c>
      <c r="G26" s="82">
        <f t="shared" si="3"/>
        <v>11</v>
      </c>
      <c r="H26" s="443">
        <v>0</v>
      </c>
      <c r="I26" s="444"/>
      <c r="J26" s="106">
        <f>IF(ISBLANK(I26),'A&amp;D Financing'!H26,I26)</f>
        <v>0</v>
      </c>
      <c r="L26" s="183">
        <f t="shared" si="4"/>
        <v>0</v>
      </c>
      <c r="M26" s="182">
        <f t="shared" si="0"/>
        <v>0</v>
      </c>
      <c r="N26" s="180">
        <f t="shared" si="5"/>
        <v>0</v>
      </c>
      <c r="O26" s="95">
        <f t="shared" si="1"/>
        <v>0</v>
      </c>
    </row>
    <row r="27" spans="2:15" ht="15.75" thickBot="1">
      <c r="B27" s="82">
        <f t="shared" si="2"/>
        <v>12</v>
      </c>
      <c r="C27" s="443">
        <v>0</v>
      </c>
      <c r="D27" s="444"/>
      <c r="E27" s="106">
        <f>IF(ISBLANK(D27),'A&amp;D Financing'!C27,D27)</f>
        <v>0</v>
      </c>
      <c r="G27" s="82">
        <f t="shared" si="3"/>
        <v>12</v>
      </c>
      <c r="H27" s="443">
        <v>0</v>
      </c>
      <c r="I27" s="444"/>
      <c r="J27" s="106">
        <f>IF(ISBLANK(I27),'A&amp;D Financing'!H27,I27)</f>
        <v>0</v>
      </c>
      <c r="L27" s="183">
        <f t="shared" si="4"/>
        <v>0</v>
      </c>
      <c r="M27" s="182">
        <f t="shared" si="0"/>
        <v>0</v>
      </c>
      <c r="N27" s="180">
        <f t="shared" si="5"/>
        <v>0</v>
      </c>
      <c r="O27" s="95">
        <f t="shared" si="1"/>
        <v>0</v>
      </c>
    </row>
    <row r="28" spans="2:15" ht="15.75" thickBot="1">
      <c r="B28" s="82">
        <f t="shared" si="2"/>
        <v>13</v>
      </c>
      <c r="C28" s="443">
        <v>0</v>
      </c>
      <c r="D28" s="444"/>
      <c r="E28" s="106">
        <f>IF(ISBLANK(D28),'A&amp;D Financing'!C28,D28)</f>
        <v>0</v>
      </c>
      <c r="G28" s="82">
        <f t="shared" si="3"/>
        <v>13</v>
      </c>
      <c r="H28" s="443">
        <v>0</v>
      </c>
      <c r="I28" s="444"/>
      <c r="J28" s="106">
        <f>IF(ISBLANK(I28),'A&amp;D Financing'!H28,I28)</f>
        <v>0</v>
      </c>
      <c r="L28" s="183">
        <f t="shared" si="4"/>
        <v>0</v>
      </c>
      <c r="M28" s="182">
        <f t="shared" si="0"/>
        <v>0</v>
      </c>
      <c r="N28" s="180">
        <f t="shared" si="5"/>
        <v>0</v>
      </c>
      <c r="O28" s="95">
        <f t="shared" si="1"/>
        <v>0</v>
      </c>
    </row>
    <row r="29" spans="2:15" ht="15.75" thickBot="1">
      <c r="B29" s="82">
        <f t="shared" si="2"/>
        <v>14</v>
      </c>
      <c r="C29" s="443">
        <v>0</v>
      </c>
      <c r="D29" s="444"/>
      <c r="E29" s="106">
        <f>IF(ISBLANK(D29),'A&amp;D Financing'!C29,D29)</f>
        <v>0</v>
      </c>
      <c r="G29" s="82">
        <f t="shared" si="3"/>
        <v>14</v>
      </c>
      <c r="H29" s="443">
        <v>0</v>
      </c>
      <c r="I29" s="444"/>
      <c r="J29" s="106">
        <f>IF(ISBLANK(I29),'A&amp;D Financing'!H29,I29)</f>
        <v>0</v>
      </c>
      <c r="L29" s="183">
        <f t="shared" si="4"/>
        <v>0</v>
      </c>
      <c r="M29" s="182">
        <f t="shared" si="0"/>
        <v>0</v>
      </c>
      <c r="N29" s="180">
        <f t="shared" si="5"/>
        <v>0</v>
      </c>
      <c r="O29" s="95">
        <f t="shared" si="1"/>
        <v>0</v>
      </c>
    </row>
    <row r="30" spans="2:15" ht="15.75" thickBot="1">
      <c r="B30" s="82">
        <f t="shared" si="2"/>
        <v>15</v>
      </c>
      <c r="C30" s="443">
        <v>0</v>
      </c>
      <c r="D30" s="444"/>
      <c r="E30" s="106">
        <f>IF(ISBLANK(D30),'A&amp;D Financing'!C30,D30)</f>
        <v>0</v>
      </c>
      <c r="G30" s="82">
        <f t="shared" si="3"/>
        <v>15</v>
      </c>
      <c r="H30" s="443">
        <v>0</v>
      </c>
      <c r="I30" s="444"/>
      <c r="J30" s="106">
        <f>IF(ISBLANK(I30),'A&amp;D Financing'!H30,I30)</f>
        <v>0</v>
      </c>
      <c r="L30" s="183">
        <f t="shared" si="4"/>
        <v>0</v>
      </c>
      <c r="M30" s="182">
        <f t="shared" si="0"/>
        <v>0</v>
      </c>
      <c r="N30" s="180">
        <f t="shared" si="5"/>
        <v>0</v>
      </c>
      <c r="O30" s="95">
        <f t="shared" si="1"/>
        <v>0</v>
      </c>
    </row>
    <row r="31" spans="2:15" ht="15.75" thickBot="1">
      <c r="B31" s="82">
        <f t="shared" si="2"/>
        <v>16</v>
      </c>
      <c r="C31" s="443">
        <v>0</v>
      </c>
      <c r="D31" s="444"/>
      <c r="E31" s="106">
        <f>IF(ISBLANK(D31),'A&amp;D Financing'!C31,D31)</f>
        <v>0</v>
      </c>
      <c r="G31" s="82">
        <f t="shared" si="3"/>
        <v>16</v>
      </c>
      <c r="H31" s="443">
        <v>0</v>
      </c>
      <c r="I31" s="444"/>
      <c r="J31" s="106">
        <f>IF(ISBLANK(I31),'A&amp;D Financing'!H31,I31)</f>
        <v>0</v>
      </c>
      <c r="L31" s="183">
        <f t="shared" si="4"/>
        <v>0</v>
      </c>
      <c r="M31" s="182">
        <f t="shared" si="0"/>
        <v>0</v>
      </c>
      <c r="N31" s="180">
        <f t="shared" si="5"/>
        <v>0</v>
      </c>
      <c r="O31" s="95">
        <f t="shared" si="1"/>
        <v>0</v>
      </c>
    </row>
    <row r="32" spans="2:15" ht="15.75" thickBot="1">
      <c r="B32" s="82">
        <f t="shared" si="2"/>
        <v>17</v>
      </c>
      <c r="C32" s="443">
        <v>0</v>
      </c>
      <c r="D32" s="444"/>
      <c r="E32" s="106">
        <f>IF(ISBLANK(D32),'A&amp;D Financing'!C32,D32)</f>
        <v>0</v>
      </c>
      <c r="G32" s="82">
        <f t="shared" si="3"/>
        <v>17</v>
      </c>
      <c r="H32" s="443">
        <v>0</v>
      </c>
      <c r="I32" s="444"/>
      <c r="J32" s="106">
        <f>IF(ISBLANK(I32),'A&amp;D Financing'!H32,I32)</f>
        <v>0</v>
      </c>
      <c r="L32" s="183">
        <f t="shared" si="4"/>
        <v>0</v>
      </c>
      <c r="M32" s="182">
        <f t="shared" si="0"/>
        <v>0</v>
      </c>
      <c r="N32" s="180">
        <f t="shared" si="5"/>
        <v>0</v>
      </c>
      <c r="O32" s="95">
        <f t="shared" si="1"/>
        <v>0</v>
      </c>
    </row>
    <row r="33" spans="2:15" ht="15.75" thickBot="1">
      <c r="B33" s="82">
        <f t="shared" si="2"/>
        <v>18</v>
      </c>
      <c r="C33" s="443">
        <v>0</v>
      </c>
      <c r="D33" s="444"/>
      <c r="E33" s="106">
        <f>IF(ISBLANK(D33),'A&amp;D Financing'!C33,D33)</f>
        <v>0</v>
      </c>
      <c r="G33" s="82">
        <f t="shared" si="3"/>
        <v>18</v>
      </c>
      <c r="H33" s="443">
        <v>0</v>
      </c>
      <c r="I33" s="444"/>
      <c r="J33" s="106">
        <f>IF(ISBLANK(I33),'A&amp;D Financing'!H33,I33)</f>
        <v>0</v>
      </c>
      <c r="L33" s="183">
        <f t="shared" si="4"/>
        <v>0</v>
      </c>
      <c r="M33" s="182">
        <f t="shared" si="0"/>
        <v>0</v>
      </c>
      <c r="N33" s="180">
        <f t="shared" si="5"/>
        <v>0</v>
      </c>
      <c r="O33" s="95">
        <f t="shared" si="1"/>
        <v>0</v>
      </c>
    </row>
    <row r="34" spans="2:15" ht="15.75" thickBot="1">
      <c r="B34" s="82">
        <f t="shared" si="2"/>
        <v>19</v>
      </c>
      <c r="C34" s="443">
        <v>0</v>
      </c>
      <c r="D34" s="444"/>
      <c r="E34" s="106">
        <f>IF(ISBLANK(D34),'A&amp;D Financing'!C34,D34)</f>
        <v>0</v>
      </c>
      <c r="G34" s="82">
        <f t="shared" si="3"/>
        <v>19</v>
      </c>
      <c r="H34" s="443">
        <v>0</v>
      </c>
      <c r="I34" s="444"/>
      <c r="J34" s="106">
        <f>IF(ISBLANK(I34),'A&amp;D Financing'!H34,I34)</f>
        <v>0</v>
      </c>
      <c r="L34" s="183">
        <f t="shared" si="4"/>
        <v>0</v>
      </c>
      <c r="M34" s="182">
        <f t="shared" si="0"/>
        <v>0</v>
      </c>
      <c r="N34" s="180">
        <f t="shared" si="5"/>
        <v>0</v>
      </c>
      <c r="O34" s="95">
        <f t="shared" si="1"/>
        <v>0</v>
      </c>
    </row>
    <row r="35" spans="2:15" ht="15.75" thickBot="1">
      <c r="B35" s="82">
        <f t="shared" si="2"/>
        <v>20</v>
      </c>
      <c r="C35" s="443">
        <v>0</v>
      </c>
      <c r="D35" s="444"/>
      <c r="E35" s="106">
        <f>IF(ISBLANK(D35),'A&amp;D Financing'!C35,D35)</f>
        <v>0</v>
      </c>
      <c r="G35" s="82">
        <f t="shared" si="3"/>
        <v>20</v>
      </c>
      <c r="H35" s="443">
        <v>0</v>
      </c>
      <c r="I35" s="444"/>
      <c r="J35" s="106">
        <f>IF(ISBLANK(I35),'A&amp;D Financing'!H35,I35)</f>
        <v>0</v>
      </c>
      <c r="L35" s="183">
        <f t="shared" si="4"/>
        <v>0</v>
      </c>
      <c r="M35" s="182">
        <f t="shared" si="0"/>
        <v>0</v>
      </c>
      <c r="N35" s="180">
        <f t="shared" si="5"/>
        <v>0</v>
      </c>
      <c r="O35" s="95">
        <f t="shared" si="1"/>
        <v>0</v>
      </c>
    </row>
    <row r="36" spans="2:15" ht="15.75" thickBot="1">
      <c r="B36" s="107"/>
      <c r="C36" s="108"/>
      <c r="D36" s="109"/>
      <c r="E36" s="137"/>
      <c r="G36" s="107"/>
      <c r="H36" s="108"/>
      <c r="I36" s="109"/>
      <c r="J36" s="137"/>
      <c r="L36" s="107"/>
      <c r="M36" s="108"/>
      <c r="N36" s="181"/>
      <c r="O36" s="137"/>
    </row>
    <row r="37" spans="5:7" ht="15">
      <c r="E37" s="153"/>
      <c r="G37" s="153"/>
    </row>
    <row r="38" spans="2:9" ht="15">
      <c r="B38" s="176" t="s">
        <v>93</v>
      </c>
      <c r="C38" s="177" t="str">
        <f>IF(SUM(C16:C35)=1,"YES","NO")</f>
        <v>YES</v>
      </c>
      <c r="D38" s="178" t="str">
        <f>IF(SUM(E16:E35)=1,"YES","NO")</f>
        <v>YES</v>
      </c>
      <c r="E38" s="153"/>
      <c r="G38" s="176" t="s">
        <v>95</v>
      </c>
      <c r="H38" s="177" t="str">
        <f>IF(SUM(L16:L35)&lt;=IF(NOT(C5=""),C5,D43*C7),"YES","NO")</f>
        <v>YES</v>
      </c>
      <c r="I38" s="178" t="str">
        <f>IF(SUM(N16:N35)&lt;=IF(NOT(E5=""),E5,E43*E7),"YES","NO")</f>
        <v>YES</v>
      </c>
    </row>
    <row r="39" spans="2:9" ht="15">
      <c r="B39" s="175" t="s">
        <v>94</v>
      </c>
      <c r="C39" s="174"/>
      <c r="D39" s="179"/>
      <c r="E39" s="153"/>
      <c r="G39" s="175" t="s">
        <v>96</v>
      </c>
      <c r="H39" s="174"/>
      <c r="I39" s="179"/>
    </row>
    <row r="40" ht="15.75" thickBot="1"/>
    <row r="41" spans="2:5" ht="15">
      <c r="B41" s="19" t="s">
        <v>72</v>
      </c>
      <c r="C41" s="172"/>
      <c r="D41" s="22" t="s">
        <v>4</v>
      </c>
      <c r="E41" s="22" t="s">
        <v>0</v>
      </c>
    </row>
    <row r="42" spans="2:5" ht="15">
      <c r="B42" s="23"/>
      <c r="C42" s="173"/>
      <c r="D42" s="24"/>
      <c r="E42" s="24"/>
    </row>
    <row r="43" spans="2:9" ht="15">
      <c r="B43" s="84" t="s">
        <v>8</v>
      </c>
      <c r="C43" s="129"/>
      <c r="D43" s="85">
        <f>'A&amp;D Costs'!C46</f>
        <v>1785000</v>
      </c>
      <c r="E43" s="85">
        <f>'A&amp;D Costs'!E46</f>
        <v>1785000</v>
      </c>
      <c r="I43" s="153"/>
    </row>
    <row r="44" spans="2:5" ht="15">
      <c r="B44" s="39" t="s">
        <v>27</v>
      </c>
      <c r="C44" s="128"/>
      <c r="D44" s="85">
        <f>IF(NOT(C5=""),C5,SUM(L16:L35))</f>
        <v>1440000</v>
      </c>
      <c r="E44" s="85">
        <f>IF(NOT(E5=""),E5,SUM(N16:N35))</f>
        <v>1440000</v>
      </c>
    </row>
    <row r="45" spans="2:5" ht="15">
      <c r="B45" s="39" t="s">
        <v>73</v>
      </c>
      <c r="C45" s="128"/>
      <c r="D45" s="85">
        <f>SUM(M16:M35)</f>
        <v>345000</v>
      </c>
      <c r="E45" s="85">
        <f>SUM(O16:O35)</f>
        <v>345000</v>
      </c>
    </row>
    <row r="46" spans="2:5" ht="15">
      <c r="B46" s="39" t="s">
        <v>181</v>
      </c>
      <c r="C46" s="128"/>
      <c r="D46" s="327">
        <f>D44/D43</f>
        <v>0.8067226890756303</v>
      </c>
      <c r="E46" s="327">
        <f>E44/E43</f>
        <v>0.8067226890756303</v>
      </c>
    </row>
    <row r="47" spans="2:9" ht="15.75" thickBot="1">
      <c r="B47" s="29"/>
      <c r="C47" s="157"/>
      <c r="D47" s="96"/>
      <c r="E47" s="96"/>
      <c r="I47" s="153"/>
    </row>
  </sheetData>
  <sheetProtection password="CFB3" sheet="1" objects="1" scenarios="1"/>
  <mergeCells count="2">
    <mergeCell ref="L14:M14"/>
    <mergeCell ref="N14:O14"/>
  </mergeCells>
  <conditionalFormatting sqref="C38:D38 I38">
    <cfRule type="cellIs" priority="4" dxfId="4" operator="equal">
      <formula>"NO"</formula>
    </cfRule>
  </conditionalFormatting>
  <conditionalFormatting sqref="H38">
    <cfRule type="cellIs" priority="1" dxfId="4" operator="equal">
      <formula>"NO"</formula>
    </cfRule>
  </conditionalFormatting>
  <printOptions/>
  <pageMargins left="0.75" right="0.75" top="1" bottom="1" header="0.3" footer="0.3"/>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codeName="Sheet5"/>
  <dimension ref="B3:E15"/>
  <sheetViews>
    <sheetView zoomScale="90" zoomScaleNormal="90" zoomScalePageLayoutView="80" workbookViewId="0" topLeftCell="A4">
      <selection activeCell="E29" sqref="E29"/>
    </sheetView>
  </sheetViews>
  <sheetFormatPr defaultColWidth="8.8515625" defaultRowHeight="15"/>
  <cols>
    <col min="1" max="1" width="8.8515625" style="76" customWidth="1"/>
    <col min="2" max="2" width="26.00390625" style="76" customWidth="1"/>
    <col min="3" max="3" width="14.7109375" style="76" customWidth="1"/>
    <col min="4" max="4" width="15.00390625" style="76" bestFit="1" customWidth="1"/>
    <col min="5" max="5" width="11.421875" style="76" customWidth="1"/>
    <col min="6" max="6" width="8.8515625" style="76" customWidth="1"/>
    <col min="7" max="7" width="24.00390625" style="76" customWidth="1"/>
    <col min="8" max="8" width="14.421875" style="76" customWidth="1"/>
    <col min="9" max="9" width="16.7109375" style="76" customWidth="1"/>
    <col min="10" max="10" width="10.140625" style="76" bestFit="1" customWidth="1"/>
    <col min="11" max="11" width="15.00390625" style="76" bestFit="1" customWidth="1"/>
    <col min="12" max="12" width="10.140625" style="76" bestFit="1" customWidth="1"/>
    <col min="13" max="16384" width="8.8515625" style="76" customWidth="1"/>
  </cols>
  <sheetData>
    <row r="2" ht="15.75" thickBot="1"/>
    <row r="3" spans="2:5" ht="15">
      <c r="B3" s="14" t="s">
        <v>160</v>
      </c>
      <c r="C3" s="27" t="s">
        <v>4</v>
      </c>
      <c r="D3" s="28" t="s">
        <v>0</v>
      </c>
      <c r="E3" s="77"/>
    </row>
    <row r="4" spans="2:5" ht="15.75" thickBot="1">
      <c r="B4" s="82"/>
      <c r="C4" s="103"/>
      <c r="D4" s="113"/>
      <c r="E4" s="114"/>
    </row>
    <row r="5" spans="2:5" ht="15.75" thickBot="1">
      <c r="B5" s="115" t="s">
        <v>2</v>
      </c>
      <c r="C5" s="445">
        <v>40000</v>
      </c>
      <c r="D5" s="446">
        <v>18000</v>
      </c>
      <c r="E5" s="18">
        <f>IF(ISBLANK(D5),C5,D5)</f>
        <v>18000</v>
      </c>
    </row>
    <row r="6" spans="2:5" ht="15.75" thickBot="1">
      <c r="B6" s="115" t="s">
        <v>58</v>
      </c>
      <c r="C6" s="447">
        <v>50000</v>
      </c>
      <c r="D6" s="448"/>
      <c r="E6" s="116">
        <f>IF(ISBLANK(D6),C6,D6)</f>
        <v>50000</v>
      </c>
    </row>
    <row r="7" spans="2:5" ht="15.75" thickBot="1">
      <c r="B7" s="82" t="s">
        <v>15</v>
      </c>
      <c r="C7" s="433">
        <v>0</v>
      </c>
      <c r="D7" s="448"/>
      <c r="E7" s="116">
        <f>IF(ISBLANK(D7),C7,D7)</f>
        <v>0</v>
      </c>
    </row>
    <row r="8" spans="2:5" ht="15.75" thickBot="1">
      <c r="B8" s="82"/>
      <c r="C8" s="117"/>
      <c r="D8" s="118"/>
      <c r="E8" s="114"/>
    </row>
    <row r="9" spans="2:5" ht="15.75" thickBot="1">
      <c r="B9" s="82" t="s">
        <v>186</v>
      </c>
      <c r="C9" s="429">
        <v>0</v>
      </c>
      <c r="D9" s="449">
        <v>0</v>
      </c>
      <c r="E9" s="34">
        <f>IF(ISBLANK(D9),C9,D9)</f>
        <v>0</v>
      </c>
    </row>
    <row r="10" spans="2:5" ht="15.75" thickBot="1">
      <c r="B10" s="107"/>
      <c r="C10" s="108"/>
      <c r="D10" s="120"/>
      <c r="E10" s="121"/>
    </row>
    <row r="12" ht="15.75" thickBot="1"/>
    <row r="13" spans="2:4" ht="15">
      <c r="B13" s="19" t="s">
        <v>52</v>
      </c>
      <c r="C13" s="22" t="s">
        <v>4</v>
      </c>
      <c r="D13" s="22" t="s">
        <v>0</v>
      </c>
    </row>
    <row r="14" spans="2:4" ht="15">
      <c r="B14" s="23"/>
      <c r="C14" s="24"/>
      <c r="D14" s="24"/>
    </row>
    <row r="15" spans="2:4" ht="15.75" thickBot="1">
      <c r="B15" s="29" t="s">
        <v>51</v>
      </c>
      <c r="C15" s="54">
        <f>SUM(C5:C7)</f>
        <v>90000</v>
      </c>
      <c r="D15" s="54">
        <f>SUM(E5:E7)</f>
        <v>68000</v>
      </c>
    </row>
  </sheetData>
  <sheetProtection password="CFB3" sheet="1" objects="1" scenarios="1"/>
  <printOptions/>
  <pageMargins left="0.75" right="0.75" top="1" bottom="1"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Y13"/>
  <sheetViews>
    <sheetView zoomScale="90" zoomScaleNormal="90" zoomScalePageLayoutView="0" workbookViewId="0" topLeftCell="A1">
      <selection activeCell="C23" sqref="C22:C23"/>
    </sheetView>
  </sheetViews>
  <sheetFormatPr defaultColWidth="8.8515625" defaultRowHeight="15"/>
  <cols>
    <col min="1" max="1" width="8.8515625" style="76" customWidth="1"/>
    <col min="2" max="2" width="31.421875" style="76" bestFit="1" customWidth="1"/>
    <col min="3" max="3" width="14.7109375" style="76" customWidth="1"/>
    <col min="4" max="4" width="8.8515625" style="76" customWidth="1"/>
    <col min="5" max="5" width="11.8515625" style="76" customWidth="1"/>
    <col min="6" max="6" width="10.00390625" style="76" customWidth="1"/>
    <col min="7" max="7" width="2.421875" style="76" customWidth="1"/>
    <col min="8" max="8" width="24.8515625" style="76" customWidth="1"/>
    <col min="9" max="16384" width="8.8515625" style="76" customWidth="1"/>
  </cols>
  <sheetData>
    <row r="1" ht="15.75" thickBot="1"/>
    <row r="2" spans="2:4" ht="15.75" thickBot="1">
      <c r="B2" s="524" t="s">
        <v>298</v>
      </c>
      <c r="C2" s="525"/>
      <c r="D2" s="526"/>
    </row>
    <row r="3" spans="2:8" ht="15.75" thickBot="1">
      <c r="B3" s="201" t="s">
        <v>289</v>
      </c>
      <c r="C3" s="488">
        <v>0.132</v>
      </c>
      <c r="D3" s="218"/>
      <c r="E3" s="507" t="s">
        <v>295</v>
      </c>
      <c r="F3" s="508">
        <v>0.132</v>
      </c>
      <c r="H3" s="491" t="s">
        <v>260</v>
      </c>
    </row>
    <row r="4" spans="2:25" ht="15.75" thickBot="1">
      <c r="B4" s="201" t="s">
        <v>292</v>
      </c>
      <c r="C4" s="488">
        <v>0.2</v>
      </c>
      <c r="D4" s="219"/>
      <c r="E4" s="204" t="s">
        <v>286</v>
      </c>
      <c r="F4" s="500"/>
      <c r="G4" s="500"/>
      <c r="H4" s="206"/>
      <c r="I4" s="153"/>
      <c r="J4" s="153"/>
      <c r="K4" s="153"/>
      <c r="L4" s="153"/>
      <c r="M4" s="153"/>
      <c r="N4" s="153"/>
      <c r="O4" s="153"/>
      <c r="P4" s="153"/>
      <c r="Q4" s="153"/>
      <c r="R4" s="153"/>
      <c r="S4" s="153"/>
      <c r="T4" s="153"/>
      <c r="U4" s="153"/>
      <c r="V4" s="153"/>
      <c r="W4" s="153"/>
      <c r="X4" s="153"/>
      <c r="Y4" s="153"/>
    </row>
    <row r="5" spans="2:25" ht="15.75" thickBot="1">
      <c r="B5" s="202" t="s">
        <v>291</v>
      </c>
      <c r="C5" s="488">
        <v>0.19</v>
      </c>
      <c r="D5" s="203"/>
      <c r="E5" s="207" t="s">
        <v>285</v>
      </c>
      <c r="F5" s="334"/>
      <c r="G5" s="334"/>
      <c r="H5" s="213"/>
      <c r="I5" s="492"/>
      <c r="J5" s="492"/>
      <c r="K5" s="492"/>
      <c r="L5" s="492"/>
      <c r="M5" s="492"/>
      <c r="N5" s="492"/>
      <c r="O5" s="492"/>
      <c r="P5" s="492"/>
      <c r="Q5" s="492"/>
      <c r="R5" s="492"/>
      <c r="S5" s="492"/>
      <c r="T5" s="492"/>
      <c r="U5" s="492"/>
      <c r="V5" s="492"/>
      <c r="W5" s="492"/>
      <c r="X5" s="492"/>
      <c r="Y5" s="153"/>
    </row>
    <row r="6" spans="5:25" ht="15">
      <c r="E6" s="207" t="s">
        <v>296</v>
      </c>
      <c r="F6" s="334"/>
      <c r="G6" s="334"/>
      <c r="H6" s="213"/>
      <c r="I6" s="153"/>
      <c r="J6" s="153"/>
      <c r="K6" s="153"/>
      <c r="L6" s="153"/>
      <c r="M6" s="153"/>
      <c r="N6" s="153"/>
      <c r="O6" s="153"/>
      <c r="P6" s="153"/>
      <c r="Q6" s="153"/>
      <c r="R6" s="153"/>
      <c r="S6" s="153"/>
      <c r="T6" s="153"/>
      <c r="U6" s="153"/>
      <c r="V6" s="153"/>
      <c r="W6" s="153"/>
      <c r="X6" s="153"/>
      <c r="Y6" s="153"/>
    </row>
    <row r="7" spans="5:8" ht="15.75" thickBot="1">
      <c r="E7" s="214" t="s">
        <v>297</v>
      </c>
      <c r="F7" s="215"/>
      <c r="G7" s="215"/>
      <c r="H7" s="216"/>
    </row>
    <row r="8" spans="5:8" ht="15">
      <c r="E8" s="509" t="s">
        <v>299</v>
      </c>
      <c r="F8" s="500"/>
      <c r="G8" s="500"/>
      <c r="H8" s="206"/>
    </row>
    <row r="9" spans="5:8" ht="15">
      <c r="E9" s="207" t="s">
        <v>300</v>
      </c>
      <c r="F9" s="334"/>
      <c r="G9" s="334"/>
      <c r="H9" s="213"/>
    </row>
    <row r="10" spans="5:8" ht="15">
      <c r="E10" s="207" t="s">
        <v>301</v>
      </c>
      <c r="F10" s="334"/>
      <c r="G10" s="334"/>
      <c r="H10" s="213"/>
    </row>
    <row r="11" spans="5:8" ht="15">
      <c r="E11" s="207" t="s">
        <v>302</v>
      </c>
      <c r="F11" s="334"/>
      <c r="G11" s="334"/>
      <c r="H11" s="213"/>
    </row>
    <row r="12" spans="5:8" ht="15">
      <c r="E12" s="207" t="s">
        <v>304</v>
      </c>
      <c r="F12" s="334"/>
      <c r="G12" s="334"/>
      <c r="H12" s="213"/>
    </row>
    <row r="13" spans="5:8" ht="15.75" thickBot="1">
      <c r="E13" s="214" t="s">
        <v>305</v>
      </c>
      <c r="F13" s="215"/>
      <c r="G13" s="215"/>
      <c r="H13" s="216"/>
    </row>
  </sheetData>
  <sheetProtection password="CFB3" sheet="1"/>
  <mergeCells count="1">
    <mergeCell ref="B2:D2"/>
  </mergeCells>
  <hyperlinks>
    <hyperlink ref="H3" r:id="rId1" display="Source: Gross Annual Return on Recently Acquired Properties, NAHB tabulation of data from the Rental Housing Finance Survey (U.S. Census Bureau and the Department of Housing and Urban Development)"/>
  </hyperlinks>
  <printOptions/>
  <pageMargins left="0.75" right="0.75" top="1" bottom="1"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7"/>
  <dimension ref="B3:Q41"/>
  <sheetViews>
    <sheetView zoomScale="90" zoomScaleNormal="90" zoomScalePageLayoutView="85" workbookViewId="0" topLeftCell="A8">
      <selection activeCell="D13" sqref="D13:D19"/>
    </sheetView>
  </sheetViews>
  <sheetFormatPr defaultColWidth="8.8515625" defaultRowHeight="15"/>
  <cols>
    <col min="1" max="1" width="8.8515625" style="76" customWidth="1"/>
    <col min="2" max="2" width="27.8515625" style="76" bestFit="1" customWidth="1"/>
    <col min="3" max="3" width="17.140625" style="76" bestFit="1" customWidth="1"/>
    <col min="4" max="4" width="15.421875" style="76" bestFit="1" customWidth="1"/>
    <col min="5" max="5" width="17.140625" style="76" bestFit="1" customWidth="1"/>
    <col min="6" max="6" width="15.421875" style="76" bestFit="1" customWidth="1"/>
    <col min="7" max="7" width="16.00390625" style="76" bestFit="1" customWidth="1"/>
    <col min="8" max="8" width="13.421875" style="76" bestFit="1" customWidth="1"/>
    <col min="9" max="9" width="15.00390625" style="76" bestFit="1" customWidth="1"/>
    <col min="10" max="10" width="16.00390625" style="76" bestFit="1" customWidth="1"/>
    <col min="11" max="11" width="13.421875" style="76" bestFit="1" customWidth="1"/>
    <col min="12" max="12" width="15.00390625" style="76" bestFit="1" customWidth="1"/>
    <col min="13" max="13" width="6.00390625" style="76" customWidth="1"/>
    <col min="14" max="14" width="14.140625" style="76" bestFit="1" customWidth="1"/>
    <col min="15" max="15" width="12.8515625" style="76" bestFit="1" customWidth="1"/>
    <col min="16" max="16" width="14.140625" style="76" bestFit="1" customWidth="1"/>
    <col min="17" max="17" width="12.8515625" style="76" bestFit="1" customWidth="1"/>
    <col min="18" max="16384" width="8.8515625" style="76" customWidth="1"/>
  </cols>
  <sheetData>
    <row r="2" ht="15.75" thickBot="1"/>
    <row r="3" spans="2:4" ht="15">
      <c r="B3" s="14" t="s">
        <v>49</v>
      </c>
      <c r="C3" s="20" t="s">
        <v>4</v>
      </c>
      <c r="D3" s="376" t="s">
        <v>0</v>
      </c>
    </row>
    <row r="4" spans="2:4" ht="15">
      <c r="B4" s="11"/>
      <c r="C4" s="36"/>
      <c r="D4" s="16"/>
    </row>
    <row r="5" spans="2:4" ht="15">
      <c r="B5" s="82" t="s">
        <v>5</v>
      </c>
      <c r="C5" s="377">
        <f>'Lot Price Calculation'!C20</f>
        <v>60271.7329597951</v>
      </c>
      <c r="D5" s="53">
        <f>'Lot Price Calculation'!D20</f>
        <v>63158.35409829437</v>
      </c>
    </row>
    <row r="6" spans="2:4" ht="15">
      <c r="B6" s="82" t="s">
        <v>6</v>
      </c>
      <c r="C6" s="377">
        <f>'Lot Price Calculation'!C21</f>
        <v>-9614.884077556693</v>
      </c>
      <c r="D6" s="53">
        <f>'Lot Price Calculation'!D21</f>
        <v>-9614.884077556693</v>
      </c>
    </row>
    <row r="7" spans="2:4" ht="15.75" thickBot="1">
      <c r="B7" s="107"/>
      <c r="C7" s="108"/>
      <c r="D7" s="17"/>
    </row>
    <row r="9" ht="15.75" thickBot="1"/>
    <row r="10" spans="2:17" ht="15">
      <c r="B10" s="14" t="s">
        <v>60</v>
      </c>
      <c r="C10" s="25" t="s">
        <v>4</v>
      </c>
      <c r="D10" s="136"/>
      <c r="E10" s="26" t="s">
        <v>0</v>
      </c>
      <c r="F10" s="123"/>
      <c r="G10" s="123"/>
      <c r="H10" s="77"/>
      <c r="M10" s="276" t="s">
        <v>272</v>
      </c>
      <c r="N10" s="149"/>
      <c r="O10" s="149"/>
      <c r="P10" s="149"/>
      <c r="Q10" s="138"/>
    </row>
    <row r="11" spans="2:17" ht="15">
      <c r="B11" s="82"/>
      <c r="C11" s="124" t="s">
        <v>107</v>
      </c>
      <c r="D11" s="103" t="s">
        <v>108</v>
      </c>
      <c r="E11" s="104" t="s">
        <v>107</v>
      </c>
      <c r="F11" s="113" t="s">
        <v>108</v>
      </c>
      <c r="G11" s="113"/>
      <c r="H11" s="114"/>
      <c r="M11" s="39"/>
      <c r="N11" s="483" t="s">
        <v>4</v>
      </c>
      <c r="O11" s="483"/>
      <c r="P11" s="483" t="s">
        <v>0</v>
      </c>
      <c r="Q11" s="94"/>
    </row>
    <row r="12" spans="2:17" ht="15.75" thickBot="1">
      <c r="B12" s="82"/>
      <c r="C12" s="124"/>
      <c r="D12" s="103"/>
      <c r="E12" s="104"/>
      <c r="F12" s="113"/>
      <c r="G12" s="113"/>
      <c r="H12" s="114"/>
      <c r="M12" s="39"/>
      <c r="N12" s="128" t="s">
        <v>107</v>
      </c>
      <c r="O12" s="128" t="s">
        <v>108</v>
      </c>
      <c r="P12" s="128" t="s">
        <v>107</v>
      </c>
      <c r="Q12" s="112" t="s">
        <v>108</v>
      </c>
    </row>
    <row r="13" spans="2:17" ht="15.75" thickBot="1">
      <c r="B13" s="82">
        <v>1</v>
      </c>
      <c r="C13" s="451">
        <v>0</v>
      </c>
      <c r="D13" s="451">
        <v>0</v>
      </c>
      <c r="E13" s="444"/>
      <c r="F13" s="452"/>
      <c r="G13" s="125">
        <f>IF(ISBLANK(E13),C13,E13)</f>
        <v>0</v>
      </c>
      <c r="H13" s="106">
        <f>IF(ISBLANK(F13),D13,F13)</f>
        <v>0</v>
      </c>
      <c r="M13" s="39"/>
      <c r="N13" s="128">
        <f>IF(C13&gt;0,B13,"")</f>
      </c>
      <c r="O13" s="128">
        <f aca="true" t="shared" si="0" ref="O13:O32">IF(D13&gt;0,B13,"")</f>
      </c>
      <c r="P13" s="128">
        <f aca="true" t="shared" si="1" ref="P13:P32">IF(G13&gt;0,$B13,"")</f>
      </c>
      <c r="Q13" s="112">
        <f aca="true" t="shared" si="2" ref="Q13:Q32">IF(H13&gt;0,$B13,"")</f>
      </c>
    </row>
    <row r="14" spans="2:17" ht="15.75" thickBot="1">
      <c r="B14" s="82">
        <f aca="true" t="shared" si="3" ref="B14:B32">B13+1</f>
        <v>2</v>
      </c>
      <c r="C14" s="451">
        <v>0.05</v>
      </c>
      <c r="D14" s="451">
        <v>0.05</v>
      </c>
      <c r="E14" s="444"/>
      <c r="F14" s="452"/>
      <c r="G14" s="125">
        <f aca="true" t="shared" si="4" ref="G14:G32">IF(ISBLANK(E14),C14,E14)</f>
        <v>0.05</v>
      </c>
      <c r="H14" s="106">
        <f aca="true" t="shared" si="5" ref="H14:H32">IF(ISBLANK(F14),D14,F14)</f>
        <v>0.05</v>
      </c>
      <c r="M14" s="39"/>
      <c r="N14" s="128">
        <f aca="true" t="shared" si="6" ref="N14:N32">IF(C14&gt;0,$B14,"")</f>
        <v>2</v>
      </c>
      <c r="O14" s="128">
        <f t="shared" si="0"/>
        <v>2</v>
      </c>
      <c r="P14" s="128">
        <f t="shared" si="1"/>
        <v>2</v>
      </c>
      <c r="Q14" s="112">
        <f t="shared" si="2"/>
        <v>2</v>
      </c>
    </row>
    <row r="15" spans="2:17" ht="15.75" thickBot="1">
      <c r="B15" s="82">
        <f t="shared" si="3"/>
        <v>3</v>
      </c>
      <c r="C15" s="451">
        <v>0.2</v>
      </c>
      <c r="D15" s="451">
        <v>0.2</v>
      </c>
      <c r="E15" s="444"/>
      <c r="F15" s="452"/>
      <c r="G15" s="125">
        <f t="shared" si="4"/>
        <v>0.2</v>
      </c>
      <c r="H15" s="106">
        <f t="shared" si="5"/>
        <v>0.2</v>
      </c>
      <c r="M15" s="39"/>
      <c r="N15" s="128">
        <f t="shared" si="6"/>
        <v>3</v>
      </c>
      <c r="O15" s="128">
        <f t="shared" si="0"/>
        <v>3</v>
      </c>
      <c r="P15" s="128">
        <f t="shared" si="1"/>
        <v>3</v>
      </c>
      <c r="Q15" s="112">
        <f t="shared" si="2"/>
        <v>3</v>
      </c>
    </row>
    <row r="16" spans="2:17" ht="15.75" thickBot="1">
      <c r="B16" s="82">
        <f t="shared" si="3"/>
        <v>4</v>
      </c>
      <c r="C16" s="451">
        <v>0.25</v>
      </c>
      <c r="D16" s="451">
        <v>0.25</v>
      </c>
      <c r="E16" s="444"/>
      <c r="F16" s="452"/>
      <c r="G16" s="125">
        <f t="shared" si="4"/>
        <v>0.25</v>
      </c>
      <c r="H16" s="106">
        <f t="shared" si="5"/>
        <v>0.25</v>
      </c>
      <c r="M16" s="39"/>
      <c r="N16" s="128">
        <f t="shared" si="6"/>
        <v>4</v>
      </c>
      <c r="O16" s="128">
        <f t="shared" si="0"/>
        <v>4</v>
      </c>
      <c r="P16" s="128">
        <f t="shared" si="1"/>
        <v>4</v>
      </c>
      <c r="Q16" s="112">
        <f t="shared" si="2"/>
        <v>4</v>
      </c>
    </row>
    <row r="17" spans="2:17" ht="15.75" thickBot="1">
      <c r="B17" s="82">
        <f t="shared" si="3"/>
        <v>5</v>
      </c>
      <c r="C17" s="451">
        <v>0.25</v>
      </c>
      <c r="D17" s="451">
        <v>0.25</v>
      </c>
      <c r="E17" s="444"/>
      <c r="F17" s="452"/>
      <c r="G17" s="125">
        <f t="shared" si="4"/>
        <v>0.25</v>
      </c>
      <c r="H17" s="106">
        <f t="shared" si="5"/>
        <v>0.25</v>
      </c>
      <c r="M17" s="39"/>
      <c r="N17" s="128">
        <f t="shared" si="6"/>
        <v>5</v>
      </c>
      <c r="O17" s="128">
        <f t="shared" si="0"/>
        <v>5</v>
      </c>
      <c r="P17" s="128">
        <f t="shared" si="1"/>
        <v>5</v>
      </c>
      <c r="Q17" s="112">
        <f t="shared" si="2"/>
        <v>5</v>
      </c>
    </row>
    <row r="18" spans="2:17" ht="15.75" thickBot="1">
      <c r="B18" s="82">
        <f t="shared" si="3"/>
        <v>6</v>
      </c>
      <c r="C18" s="451">
        <v>0.2</v>
      </c>
      <c r="D18" s="451">
        <v>0.2</v>
      </c>
      <c r="E18" s="444"/>
      <c r="F18" s="452"/>
      <c r="G18" s="125">
        <f t="shared" si="4"/>
        <v>0.2</v>
      </c>
      <c r="H18" s="106">
        <f t="shared" si="5"/>
        <v>0.2</v>
      </c>
      <c r="M18" s="39"/>
      <c r="N18" s="128">
        <f t="shared" si="6"/>
        <v>6</v>
      </c>
      <c r="O18" s="128">
        <f t="shared" si="0"/>
        <v>6</v>
      </c>
      <c r="P18" s="128">
        <f t="shared" si="1"/>
        <v>6</v>
      </c>
      <c r="Q18" s="112">
        <f t="shared" si="2"/>
        <v>6</v>
      </c>
    </row>
    <row r="19" spans="2:17" ht="15.75" thickBot="1">
      <c r="B19" s="82">
        <f t="shared" si="3"/>
        <v>7</v>
      </c>
      <c r="C19" s="451">
        <v>0.05</v>
      </c>
      <c r="D19" s="451">
        <v>0.05</v>
      </c>
      <c r="E19" s="444"/>
      <c r="F19" s="452"/>
      <c r="G19" s="125">
        <f t="shared" si="4"/>
        <v>0.05</v>
      </c>
      <c r="H19" s="106">
        <f t="shared" si="5"/>
        <v>0.05</v>
      </c>
      <c r="M19" s="39"/>
      <c r="N19" s="128">
        <f t="shared" si="6"/>
        <v>7</v>
      </c>
      <c r="O19" s="128">
        <f t="shared" si="0"/>
        <v>7</v>
      </c>
      <c r="P19" s="128">
        <f t="shared" si="1"/>
        <v>7</v>
      </c>
      <c r="Q19" s="112">
        <f t="shared" si="2"/>
        <v>7</v>
      </c>
    </row>
    <row r="20" spans="2:17" ht="15.75" thickBot="1">
      <c r="B20" s="82">
        <f t="shared" si="3"/>
        <v>8</v>
      </c>
      <c r="C20" s="451">
        <v>0</v>
      </c>
      <c r="D20" s="451">
        <v>0</v>
      </c>
      <c r="E20" s="444"/>
      <c r="F20" s="452"/>
      <c r="G20" s="125">
        <f t="shared" si="4"/>
        <v>0</v>
      </c>
      <c r="H20" s="106">
        <f t="shared" si="5"/>
        <v>0</v>
      </c>
      <c r="M20" s="39"/>
      <c r="N20" s="128">
        <f t="shared" si="6"/>
      </c>
      <c r="O20" s="128">
        <f t="shared" si="0"/>
      </c>
      <c r="P20" s="128">
        <f t="shared" si="1"/>
      </c>
      <c r="Q20" s="112">
        <f t="shared" si="2"/>
      </c>
    </row>
    <row r="21" spans="2:17" ht="15.75" thickBot="1">
      <c r="B21" s="82">
        <f t="shared" si="3"/>
        <v>9</v>
      </c>
      <c r="C21" s="451">
        <v>0</v>
      </c>
      <c r="D21" s="451">
        <v>0</v>
      </c>
      <c r="E21" s="444"/>
      <c r="F21" s="452"/>
      <c r="G21" s="125">
        <f t="shared" si="4"/>
        <v>0</v>
      </c>
      <c r="H21" s="106">
        <f t="shared" si="5"/>
        <v>0</v>
      </c>
      <c r="M21" s="39"/>
      <c r="N21" s="128">
        <f t="shared" si="6"/>
      </c>
      <c r="O21" s="128">
        <f t="shared" si="0"/>
      </c>
      <c r="P21" s="128">
        <f t="shared" si="1"/>
      </c>
      <c r="Q21" s="112">
        <f t="shared" si="2"/>
      </c>
    </row>
    <row r="22" spans="2:17" ht="15.75" thickBot="1">
      <c r="B22" s="82">
        <f t="shared" si="3"/>
        <v>10</v>
      </c>
      <c r="C22" s="451">
        <v>0</v>
      </c>
      <c r="D22" s="451">
        <v>0</v>
      </c>
      <c r="E22" s="444"/>
      <c r="F22" s="452"/>
      <c r="G22" s="125">
        <f t="shared" si="4"/>
        <v>0</v>
      </c>
      <c r="H22" s="106">
        <f t="shared" si="5"/>
        <v>0</v>
      </c>
      <c r="M22" s="39"/>
      <c r="N22" s="128">
        <f t="shared" si="6"/>
      </c>
      <c r="O22" s="128">
        <f t="shared" si="0"/>
      </c>
      <c r="P22" s="128">
        <f t="shared" si="1"/>
      </c>
      <c r="Q22" s="112">
        <f t="shared" si="2"/>
      </c>
    </row>
    <row r="23" spans="2:17" ht="15.75" thickBot="1">
      <c r="B23" s="82">
        <f t="shared" si="3"/>
        <v>11</v>
      </c>
      <c r="C23" s="451">
        <v>0</v>
      </c>
      <c r="D23" s="451">
        <v>0</v>
      </c>
      <c r="E23" s="444"/>
      <c r="F23" s="452"/>
      <c r="G23" s="125">
        <f t="shared" si="4"/>
        <v>0</v>
      </c>
      <c r="H23" s="106">
        <f t="shared" si="5"/>
        <v>0</v>
      </c>
      <c r="M23" s="39"/>
      <c r="N23" s="128">
        <f t="shared" si="6"/>
      </c>
      <c r="O23" s="128">
        <f t="shared" si="0"/>
      </c>
      <c r="P23" s="128">
        <f t="shared" si="1"/>
      </c>
      <c r="Q23" s="112">
        <f t="shared" si="2"/>
      </c>
    </row>
    <row r="24" spans="2:17" ht="15.75" thickBot="1">
      <c r="B24" s="82">
        <f t="shared" si="3"/>
        <v>12</v>
      </c>
      <c r="C24" s="451">
        <v>0</v>
      </c>
      <c r="D24" s="451">
        <v>0</v>
      </c>
      <c r="E24" s="444"/>
      <c r="F24" s="452"/>
      <c r="G24" s="125">
        <f t="shared" si="4"/>
        <v>0</v>
      </c>
      <c r="H24" s="106">
        <f t="shared" si="5"/>
        <v>0</v>
      </c>
      <c r="M24" s="39"/>
      <c r="N24" s="128">
        <f t="shared" si="6"/>
      </c>
      <c r="O24" s="128">
        <f t="shared" si="0"/>
      </c>
      <c r="P24" s="128">
        <f t="shared" si="1"/>
      </c>
      <c r="Q24" s="112">
        <f t="shared" si="2"/>
      </c>
    </row>
    <row r="25" spans="2:17" ht="15.75" thickBot="1">
      <c r="B25" s="82">
        <f t="shared" si="3"/>
        <v>13</v>
      </c>
      <c r="C25" s="451">
        <v>0</v>
      </c>
      <c r="D25" s="451">
        <v>0</v>
      </c>
      <c r="E25" s="444"/>
      <c r="F25" s="452"/>
      <c r="G25" s="125">
        <f t="shared" si="4"/>
        <v>0</v>
      </c>
      <c r="H25" s="106">
        <f t="shared" si="5"/>
        <v>0</v>
      </c>
      <c r="M25" s="39"/>
      <c r="N25" s="128">
        <f t="shared" si="6"/>
      </c>
      <c r="O25" s="128">
        <f t="shared" si="0"/>
      </c>
      <c r="P25" s="128">
        <f t="shared" si="1"/>
      </c>
      <c r="Q25" s="112">
        <f t="shared" si="2"/>
      </c>
    </row>
    <row r="26" spans="2:17" ht="15.75" thickBot="1">
      <c r="B26" s="82">
        <f t="shared" si="3"/>
        <v>14</v>
      </c>
      <c r="C26" s="451">
        <v>0</v>
      </c>
      <c r="D26" s="451">
        <v>0</v>
      </c>
      <c r="E26" s="444"/>
      <c r="F26" s="452"/>
      <c r="G26" s="125">
        <f t="shared" si="4"/>
        <v>0</v>
      </c>
      <c r="H26" s="106">
        <f t="shared" si="5"/>
        <v>0</v>
      </c>
      <c r="M26" s="39"/>
      <c r="N26" s="128">
        <f t="shared" si="6"/>
      </c>
      <c r="O26" s="128">
        <f t="shared" si="0"/>
      </c>
      <c r="P26" s="128">
        <f t="shared" si="1"/>
      </c>
      <c r="Q26" s="112">
        <f t="shared" si="2"/>
      </c>
    </row>
    <row r="27" spans="2:17" ht="15.75" thickBot="1">
      <c r="B27" s="82">
        <f t="shared" si="3"/>
        <v>15</v>
      </c>
      <c r="C27" s="451">
        <v>0</v>
      </c>
      <c r="D27" s="451">
        <v>0</v>
      </c>
      <c r="E27" s="444"/>
      <c r="F27" s="452"/>
      <c r="G27" s="125">
        <f t="shared" si="4"/>
        <v>0</v>
      </c>
      <c r="H27" s="106">
        <f t="shared" si="5"/>
        <v>0</v>
      </c>
      <c r="M27" s="39"/>
      <c r="N27" s="128">
        <f t="shared" si="6"/>
      </c>
      <c r="O27" s="128">
        <f t="shared" si="0"/>
      </c>
      <c r="P27" s="128">
        <f t="shared" si="1"/>
      </c>
      <c r="Q27" s="112">
        <f t="shared" si="2"/>
      </c>
    </row>
    <row r="28" spans="2:17" ht="15.75" thickBot="1">
      <c r="B28" s="82">
        <f t="shared" si="3"/>
        <v>16</v>
      </c>
      <c r="C28" s="451">
        <v>0</v>
      </c>
      <c r="D28" s="451">
        <v>0</v>
      </c>
      <c r="E28" s="444"/>
      <c r="F28" s="452"/>
      <c r="G28" s="125">
        <f t="shared" si="4"/>
        <v>0</v>
      </c>
      <c r="H28" s="106">
        <f t="shared" si="5"/>
        <v>0</v>
      </c>
      <c r="M28" s="39"/>
      <c r="N28" s="128">
        <f t="shared" si="6"/>
      </c>
      <c r="O28" s="128">
        <f t="shared" si="0"/>
      </c>
      <c r="P28" s="128">
        <f t="shared" si="1"/>
      </c>
      <c r="Q28" s="112">
        <f t="shared" si="2"/>
      </c>
    </row>
    <row r="29" spans="2:17" ht="15.75" thickBot="1">
      <c r="B29" s="82">
        <f t="shared" si="3"/>
        <v>17</v>
      </c>
      <c r="C29" s="451">
        <v>0</v>
      </c>
      <c r="D29" s="451">
        <v>0</v>
      </c>
      <c r="E29" s="444"/>
      <c r="F29" s="452"/>
      <c r="G29" s="125">
        <f t="shared" si="4"/>
        <v>0</v>
      </c>
      <c r="H29" s="106">
        <f t="shared" si="5"/>
        <v>0</v>
      </c>
      <c r="M29" s="39"/>
      <c r="N29" s="128">
        <f t="shared" si="6"/>
      </c>
      <c r="O29" s="128">
        <f t="shared" si="0"/>
      </c>
      <c r="P29" s="128">
        <f t="shared" si="1"/>
      </c>
      <c r="Q29" s="112">
        <f t="shared" si="2"/>
      </c>
    </row>
    <row r="30" spans="2:17" ht="15.75" thickBot="1">
      <c r="B30" s="82">
        <f t="shared" si="3"/>
        <v>18</v>
      </c>
      <c r="C30" s="451">
        <v>0</v>
      </c>
      <c r="D30" s="451">
        <v>0</v>
      </c>
      <c r="E30" s="444"/>
      <c r="F30" s="452"/>
      <c r="G30" s="125">
        <f t="shared" si="4"/>
        <v>0</v>
      </c>
      <c r="H30" s="106">
        <f t="shared" si="5"/>
        <v>0</v>
      </c>
      <c r="M30" s="39"/>
      <c r="N30" s="128">
        <f t="shared" si="6"/>
      </c>
      <c r="O30" s="128">
        <f t="shared" si="0"/>
      </c>
      <c r="P30" s="128">
        <f t="shared" si="1"/>
      </c>
      <c r="Q30" s="112">
        <f t="shared" si="2"/>
      </c>
    </row>
    <row r="31" spans="2:17" ht="15.75" thickBot="1">
      <c r="B31" s="82">
        <f t="shared" si="3"/>
        <v>19</v>
      </c>
      <c r="C31" s="451">
        <v>0</v>
      </c>
      <c r="D31" s="451">
        <v>0</v>
      </c>
      <c r="E31" s="444"/>
      <c r="F31" s="452"/>
      <c r="G31" s="125">
        <f t="shared" si="4"/>
        <v>0</v>
      </c>
      <c r="H31" s="106">
        <f t="shared" si="5"/>
        <v>0</v>
      </c>
      <c r="M31" s="39"/>
      <c r="N31" s="128">
        <f t="shared" si="6"/>
      </c>
      <c r="O31" s="128">
        <f t="shared" si="0"/>
      </c>
      <c r="P31" s="128">
        <f t="shared" si="1"/>
      </c>
      <c r="Q31" s="112">
        <f t="shared" si="2"/>
      </c>
    </row>
    <row r="32" spans="2:17" ht="15.75" thickBot="1">
      <c r="B32" s="82">
        <f t="shared" si="3"/>
        <v>20</v>
      </c>
      <c r="C32" s="451">
        <v>0</v>
      </c>
      <c r="D32" s="451">
        <v>0</v>
      </c>
      <c r="E32" s="444"/>
      <c r="F32" s="452"/>
      <c r="G32" s="125">
        <f t="shared" si="4"/>
        <v>0</v>
      </c>
      <c r="H32" s="106">
        <f t="shared" si="5"/>
        <v>0</v>
      </c>
      <c r="M32" s="29"/>
      <c r="N32" s="157">
        <f t="shared" si="6"/>
      </c>
      <c r="O32" s="157">
        <f t="shared" si="0"/>
      </c>
      <c r="P32" s="157">
        <f t="shared" si="1"/>
      </c>
      <c r="Q32" s="96">
        <f t="shared" si="2"/>
      </c>
    </row>
    <row r="33" spans="2:8" ht="15.75" thickBot="1">
      <c r="B33" s="107"/>
      <c r="C33" s="126"/>
      <c r="D33" s="108"/>
      <c r="E33" s="109"/>
      <c r="F33" s="120"/>
      <c r="G33" s="120"/>
      <c r="H33" s="121"/>
    </row>
    <row r="34" spans="2:4" ht="15">
      <c r="B34" s="328"/>
      <c r="C34" s="328"/>
      <c r="D34" s="328"/>
    </row>
    <row r="35" spans="2:5" ht="15">
      <c r="B35" s="329" t="s">
        <v>47</v>
      </c>
      <c r="C35" s="330" t="str">
        <f>IF(AND(SUM('Lot Sales'!D13:D32)=100%,SUM('Lot Sales'!C13:C32)=100%),"YES","NO")</f>
        <v>YES</v>
      </c>
      <c r="D35" s="330"/>
      <c r="E35" s="331" t="str">
        <f>IF(AND(SUM('Lot Sales'!H13:H32)=100%,SUM('Lot Sales'!G13:G32)=100%),"YES","NO")</f>
        <v>YES</v>
      </c>
    </row>
    <row r="36" ht="15.75" thickBot="1"/>
    <row r="37" spans="2:4" ht="15">
      <c r="B37" s="19" t="s">
        <v>62</v>
      </c>
      <c r="C37" s="22" t="s">
        <v>4</v>
      </c>
      <c r="D37" s="22" t="s">
        <v>0</v>
      </c>
    </row>
    <row r="38" spans="2:6" ht="15">
      <c r="B38" s="23"/>
      <c r="C38" s="8"/>
      <c r="D38" s="94"/>
      <c r="F38" s="153"/>
    </row>
    <row r="39" spans="2:8" ht="15">
      <c r="B39" s="39" t="s">
        <v>53</v>
      </c>
      <c r="C39" s="63">
        <f>'Lot Sales'!C5</f>
        <v>60271.7329597951</v>
      </c>
      <c r="D39" s="122">
        <f>'Lot Sales'!D5</f>
        <v>63158.35409829437</v>
      </c>
      <c r="H39" s="153"/>
    </row>
    <row r="40" spans="2:4" ht="15">
      <c r="B40" s="39" t="s">
        <v>54</v>
      </c>
      <c r="C40" s="63">
        <f>'Lot Sales'!C6</f>
        <v>-9614.884077556693</v>
      </c>
      <c r="D40" s="122">
        <f>'Lot Sales'!D6</f>
        <v>-9614.884077556693</v>
      </c>
    </row>
    <row r="41" spans="2:4" ht="15.75" thickBot="1">
      <c r="B41" s="29"/>
      <c r="C41" s="96"/>
      <c r="D41" s="96"/>
    </row>
  </sheetData>
  <sheetProtection password="CFB3" sheet="1" objects="1" scenarios="1"/>
  <conditionalFormatting sqref="C35:E35">
    <cfRule type="cellIs" priority="1" dxfId="4" operator="equal">
      <formula>"NO"</formula>
    </cfRule>
  </conditionalFormatting>
  <printOptions/>
  <pageMargins left="0.75" right="0.75" top="1" bottom="1"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codeName="Sheet8">
    <tabColor theme="9" tint="0.7999799847602844"/>
  </sheetPr>
  <dimension ref="B2:O74"/>
  <sheetViews>
    <sheetView zoomScale="90" zoomScaleNormal="90" zoomScalePageLayoutView="85" workbookViewId="0" topLeftCell="A1">
      <selection activeCell="C4" sqref="C4"/>
    </sheetView>
  </sheetViews>
  <sheetFormatPr defaultColWidth="8.8515625" defaultRowHeight="15"/>
  <cols>
    <col min="1" max="1" width="8.8515625" style="76" customWidth="1"/>
    <col min="2" max="2" width="20.421875" style="76" bestFit="1" customWidth="1"/>
    <col min="3" max="3" width="15.140625" style="76" customWidth="1"/>
    <col min="4" max="4" width="13.8515625" style="76" customWidth="1"/>
    <col min="5" max="5" width="12.57421875" style="76" customWidth="1"/>
    <col min="6" max="6" width="14.28125" style="76" bestFit="1" customWidth="1"/>
    <col min="7" max="7" width="14.28125" style="76" customWidth="1"/>
    <col min="8" max="8" width="15.7109375" style="76" bestFit="1" customWidth="1"/>
    <col min="9" max="9" width="18.140625" style="76" bestFit="1" customWidth="1"/>
    <col min="10" max="10" width="17.140625" style="76" customWidth="1"/>
    <col min="11" max="11" width="16.28125" style="76" customWidth="1"/>
    <col min="12" max="12" width="15.8515625" style="76" bestFit="1" customWidth="1"/>
    <col min="13" max="13" width="15.8515625" style="76" customWidth="1"/>
    <col min="14" max="14" width="3.140625" style="76" customWidth="1"/>
    <col min="15" max="15" width="18.421875" style="76" bestFit="1" customWidth="1"/>
    <col min="16" max="16" width="19.421875" style="76" bestFit="1" customWidth="1"/>
    <col min="17" max="17" width="16.421875" style="76" bestFit="1" customWidth="1"/>
    <col min="18" max="18" width="20.00390625" style="76" bestFit="1" customWidth="1"/>
    <col min="19" max="19" width="15.7109375" style="76" bestFit="1" customWidth="1"/>
    <col min="20" max="20" width="18.8515625" style="76" bestFit="1" customWidth="1"/>
    <col min="21" max="21" width="12.7109375" style="76" bestFit="1" customWidth="1"/>
    <col min="22" max="22" width="8.8515625" style="76" customWidth="1"/>
    <col min="23" max="23" width="11.00390625" style="76" bestFit="1" customWidth="1"/>
    <col min="24" max="16384" width="8.8515625" style="76" customWidth="1"/>
  </cols>
  <sheetData>
    <row r="1" ht="15.75" thickBot="1"/>
    <row r="2" spans="2:14" ht="15.75" thickBot="1">
      <c r="B2" s="61" t="s">
        <v>75</v>
      </c>
      <c r="C2" s="60" t="s">
        <v>4</v>
      </c>
      <c r="D2" s="60"/>
      <c r="E2" s="46"/>
      <c r="F2" s="46"/>
      <c r="G2" s="46"/>
      <c r="H2" s="46"/>
      <c r="I2" s="46"/>
      <c r="J2" s="46"/>
      <c r="K2" s="46"/>
      <c r="L2" s="46"/>
      <c r="M2" s="46"/>
      <c r="N2" s="47"/>
    </row>
    <row r="3" spans="2:14" ht="30">
      <c r="B3" s="134" t="s">
        <v>12</v>
      </c>
      <c r="C3" s="484" t="s">
        <v>104</v>
      </c>
      <c r="D3" s="484" t="s">
        <v>106</v>
      </c>
      <c r="E3" s="484" t="s">
        <v>176</v>
      </c>
      <c r="F3" s="484" t="s">
        <v>36</v>
      </c>
      <c r="G3" s="484" t="s">
        <v>174</v>
      </c>
      <c r="H3" s="484" t="s">
        <v>274</v>
      </c>
      <c r="I3" s="484" t="s">
        <v>273</v>
      </c>
      <c r="J3" s="484" t="s">
        <v>275</v>
      </c>
      <c r="K3" s="484" t="s">
        <v>276</v>
      </c>
      <c r="L3" s="484" t="s">
        <v>50</v>
      </c>
      <c r="M3" s="484" t="s">
        <v>102</v>
      </c>
      <c r="N3" s="138"/>
    </row>
    <row r="4" spans="2:14" ht="15">
      <c r="B4" s="127">
        <v>1</v>
      </c>
      <c r="C4" s="129">
        <f>'A&amp;D Financing'!L16</f>
        <v>936000</v>
      </c>
      <c r="D4" s="129">
        <f>'A&amp;D Financing'!M16</f>
        <v>224250</v>
      </c>
      <c r="E4" s="31">
        <f>('Lot Sales'!C13*Dashboard!$F$4+'Lot Sales'!D13*Dashboard!$F$5)/'A&amp;D Costs'!$C$12</f>
        <v>0</v>
      </c>
      <c r="F4" s="129">
        <f>'Lot Sales'!C13*Dashboard!$F$4*'Lot Sales'!$C$5+'Lot Sales'!D13*Dashboard!$F$5*'Lot Sales'!$C$6</f>
        <v>0</v>
      </c>
      <c r="G4" s="129">
        <v>0</v>
      </c>
      <c r="H4" s="129">
        <f>MIN(F4,C4)</f>
        <v>0</v>
      </c>
      <c r="I4" s="12">
        <f>MAX(C4,0)</f>
        <v>936000</v>
      </c>
      <c r="J4" s="129">
        <f>(I4)*('A&amp;D Financing'!$C$9)</f>
        <v>60840</v>
      </c>
      <c r="K4" s="129">
        <f>J4-G4</f>
        <v>60840</v>
      </c>
      <c r="L4" s="129">
        <f>'A&amp;D Op Exp'!$C$15*(1-E4)</f>
        <v>90000</v>
      </c>
      <c r="M4" s="129">
        <f>'A&amp;D Financing'!C11*'A&amp;D Financing'!D44</f>
        <v>14400</v>
      </c>
      <c r="N4" s="130"/>
    </row>
    <row r="5" spans="2:14" ht="15">
      <c r="B5" s="127">
        <v>2</v>
      </c>
      <c r="C5" s="129">
        <f>'A&amp;D Financing'!L17</f>
        <v>504000</v>
      </c>
      <c r="D5" s="129">
        <f>'A&amp;D Financing'!M17</f>
        <v>120750</v>
      </c>
      <c r="E5" s="31">
        <f>('Lot Sales'!C14*Dashboard!$F$4+'Lot Sales'!D14*Dashboard!$F$5)/'A&amp;D Costs'!$C$12+E4</f>
        <v>0.05</v>
      </c>
      <c r="F5" s="129">
        <f>'Lot Sales'!C14*Dashboard!$F$4*'Lot Sales'!$C$5+'Lot Sales'!D14*Dashboard!$F$5*'Lot Sales'!$C$6</f>
        <v>115736.02388081186</v>
      </c>
      <c r="G5" s="129">
        <f aca="true" t="shared" si="0" ref="G5:G23">MIN(K4,F5)</f>
        <v>60840</v>
      </c>
      <c r="H5" s="129">
        <f>MIN(F5-G5,I4)</f>
        <v>54896.02388081186</v>
      </c>
      <c r="I5" s="12">
        <f aca="true" t="shared" si="1" ref="I5:I23">MAX(I4+C5-H5,0)</f>
        <v>1385103.9761191881</v>
      </c>
      <c r="J5" s="129">
        <f>(I5)*('A&amp;D Financing'!$C$9)</f>
        <v>90031.75844774723</v>
      </c>
      <c r="K5" s="129">
        <f aca="true" t="shared" si="2" ref="K5:K23">K4+J5-G5</f>
        <v>90031.75844774721</v>
      </c>
      <c r="L5" s="129">
        <f>'A&amp;D Op Exp'!$C$15*(1-E5)*(1+'A&amp;D Op Exp'!$C$9)^(B5-1)</f>
        <v>85500</v>
      </c>
      <c r="M5" s="129">
        <v>0</v>
      </c>
      <c r="N5" s="130"/>
    </row>
    <row r="6" spans="2:14" ht="15">
      <c r="B6" s="127">
        <v>3</v>
      </c>
      <c r="C6" s="129">
        <f>'A&amp;D Financing'!L18</f>
        <v>0</v>
      </c>
      <c r="D6" s="129">
        <f>'A&amp;D Financing'!M18</f>
        <v>0</v>
      </c>
      <c r="E6" s="31">
        <f>('Lot Sales'!C15*Dashboard!$F$4+'Lot Sales'!D15*Dashboard!$F$5)/'A&amp;D Costs'!$C$12+E5</f>
        <v>0.25</v>
      </c>
      <c r="F6" s="129">
        <f>'Lot Sales'!C15*Dashboard!$F$4*'Lot Sales'!$C$5+'Lot Sales'!D15*Dashboard!$F$5*'Lot Sales'!$C$6</f>
        <v>462944.09552324744</v>
      </c>
      <c r="G6" s="129">
        <f t="shared" si="0"/>
        <v>90031.75844774721</v>
      </c>
      <c r="H6" s="129">
        <f aca="true" t="shared" si="3" ref="H6:H23">MIN(F6-G6,I5)</f>
        <v>372912.3370755002</v>
      </c>
      <c r="I6" s="12">
        <f t="shared" si="1"/>
        <v>1012191.6390436878</v>
      </c>
      <c r="J6" s="129">
        <f>(I6)*('A&amp;D Financing'!$C$9)</f>
        <v>65792.45653783971</v>
      </c>
      <c r="K6" s="129">
        <f t="shared" si="2"/>
        <v>65792.45653783972</v>
      </c>
      <c r="L6" s="129">
        <f>'A&amp;D Op Exp'!$C$15*(1-E6)*(1+'A&amp;D Op Exp'!$C$9)^(B6-1)</f>
        <v>67500</v>
      </c>
      <c r="M6" s="129">
        <v>0</v>
      </c>
      <c r="N6" s="130"/>
    </row>
    <row r="7" spans="2:14" ht="15">
      <c r="B7" s="127">
        <v>4</v>
      </c>
      <c r="C7" s="129">
        <f>'A&amp;D Financing'!L19</f>
        <v>0</v>
      </c>
      <c r="D7" s="129">
        <f>'A&amp;D Financing'!M19</f>
        <v>0</v>
      </c>
      <c r="E7" s="31">
        <f>('Lot Sales'!C16*Dashboard!$F$4+'Lot Sales'!D16*Dashboard!$F$5)/'A&amp;D Costs'!$C$12+E6</f>
        <v>0.5</v>
      </c>
      <c r="F7" s="129">
        <f>'Lot Sales'!C16*Dashboard!$F$4*'Lot Sales'!$C$5+'Lot Sales'!D16*Dashboard!$F$5*'Lot Sales'!$C$6</f>
        <v>578680.1194040593</v>
      </c>
      <c r="G7" s="129">
        <f t="shared" si="0"/>
        <v>65792.45653783972</v>
      </c>
      <c r="H7" s="129">
        <f t="shared" si="3"/>
        <v>512887.6628662195</v>
      </c>
      <c r="I7" s="12">
        <f t="shared" si="1"/>
        <v>499303.9761774683</v>
      </c>
      <c r="J7" s="129">
        <f>(I7)*('A&amp;D Financing'!$C$9)</f>
        <v>32454.758451535443</v>
      </c>
      <c r="K7" s="129">
        <f t="shared" si="2"/>
        <v>32454.75845153544</v>
      </c>
      <c r="L7" s="129">
        <f>'A&amp;D Op Exp'!$C$15*(1-E7)*(1+'A&amp;D Op Exp'!$C$9)^(B7-1)</f>
        <v>45000</v>
      </c>
      <c r="M7" s="129">
        <v>0</v>
      </c>
      <c r="N7" s="130"/>
    </row>
    <row r="8" spans="2:14" ht="15">
      <c r="B8" s="127">
        <v>5</v>
      </c>
      <c r="C8" s="129">
        <f>'A&amp;D Financing'!L20</f>
        <v>0</v>
      </c>
      <c r="D8" s="129">
        <f>'A&amp;D Financing'!M20</f>
        <v>0</v>
      </c>
      <c r="E8" s="31">
        <f>('Lot Sales'!C17*Dashboard!$F$4+'Lot Sales'!D17*Dashboard!$F$5)/'A&amp;D Costs'!$C$12+E7</f>
        <v>0.75</v>
      </c>
      <c r="F8" s="129">
        <f>'Lot Sales'!C17*Dashboard!$F$4*'Lot Sales'!$C$5+'Lot Sales'!D17*Dashboard!$F$5*'Lot Sales'!$C$6</f>
        <v>578680.1194040593</v>
      </c>
      <c r="G8" s="129">
        <f t="shared" si="0"/>
        <v>32454.75845153544</v>
      </c>
      <c r="H8" s="129">
        <f t="shared" si="3"/>
        <v>499303.9761774683</v>
      </c>
      <c r="I8" s="12">
        <f t="shared" si="1"/>
        <v>0</v>
      </c>
      <c r="J8" s="129">
        <f>(I8)*('A&amp;D Financing'!$C$9)</f>
        <v>0</v>
      </c>
      <c r="K8" s="129">
        <f t="shared" si="2"/>
        <v>0</v>
      </c>
      <c r="L8" s="129">
        <f>'A&amp;D Op Exp'!$C$15*(1-E8)*(1+'A&amp;D Op Exp'!$C$9)^(B8-1)</f>
        <v>22500</v>
      </c>
      <c r="M8" s="129">
        <v>0</v>
      </c>
      <c r="N8" s="130"/>
    </row>
    <row r="9" spans="2:14" ht="15">
      <c r="B9" s="127">
        <v>6</v>
      </c>
      <c r="C9" s="129">
        <f>'A&amp;D Financing'!L21</f>
        <v>0</v>
      </c>
      <c r="D9" s="129">
        <f>'A&amp;D Financing'!M21</f>
        <v>0</v>
      </c>
      <c r="E9" s="31">
        <f>('Lot Sales'!C18*Dashboard!$F$4+'Lot Sales'!D18*Dashboard!$F$5)/'A&amp;D Costs'!$C$12+E8</f>
        <v>0.95</v>
      </c>
      <c r="F9" s="129">
        <f>'Lot Sales'!C18*Dashboard!$F$4*'Lot Sales'!$C$5+'Lot Sales'!D18*Dashboard!$F$5*'Lot Sales'!$C$6</f>
        <v>462944.09552324744</v>
      </c>
      <c r="G9" s="129">
        <f t="shared" si="0"/>
        <v>0</v>
      </c>
      <c r="H9" s="129">
        <f t="shared" si="3"/>
        <v>0</v>
      </c>
      <c r="I9" s="12">
        <f t="shared" si="1"/>
        <v>0</v>
      </c>
      <c r="J9" s="129">
        <f>(I9)*('A&amp;D Financing'!$C$9)</f>
        <v>0</v>
      </c>
      <c r="K9" s="129">
        <f t="shared" si="2"/>
        <v>0</v>
      </c>
      <c r="L9" s="129">
        <f>'A&amp;D Op Exp'!$C$15*(1-E9)*(1+'A&amp;D Op Exp'!$C$9)^(B9-1)</f>
        <v>4500.000000000004</v>
      </c>
      <c r="M9" s="129">
        <v>0</v>
      </c>
      <c r="N9" s="130"/>
    </row>
    <row r="10" spans="2:14" ht="15">
      <c r="B10" s="127">
        <v>7</v>
      </c>
      <c r="C10" s="129">
        <f>'A&amp;D Financing'!L22</f>
        <v>0</v>
      </c>
      <c r="D10" s="129">
        <f>'A&amp;D Financing'!M22</f>
        <v>0</v>
      </c>
      <c r="E10" s="31">
        <f>('Lot Sales'!C19*Dashboard!$F$4+'Lot Sales'!D19*Dashboard!$F$5)/'A&amp;D Costs'!$C$12+E9</f>
        <v>1</v>
      </c>
      <c r="F10" s="129">
        <f>'Lot Sales'!C19*Dashboard!$F$4*'Lot Sales'!$C$5+'Lot Sales'!D19*Dashboard!$F$5*'Lot Sales'!$C$6</f>
        <v>115736.02388081186</v>
      </c>
      <c r="G10" s="129">
        <f t="shared" si="0"/>
        <v>0</v>
      </c>
      <c r="H10" s="129">
        <f t="shared" si="3"/>
        <v>0</v>
      </c>
      <c r="I10" s="12">
        <f t="shared" si="1"/>
        <v>0</v>
      </c>
      <c r="J10" s="129">
        <f>(I10)*('A&amp;D Financing'!$C$9)</f>
        <v>0</v>
      </c>
      <c r="K10" s="129">
        <f t="shared" si="2"/>
        <v>0</v>
      </c>
      <c r="L10" s="129">
        <f>'A&amp;D Op Exp'!$C$15*(1-E10)*(1+'A&amp;D Op Exp'!$C$9)^(B10-1)</f>
        <v>0</v>
      </c>
      <c r="M10" s="129">
        <v>0</v>
      </c>
      <c r="N10" s="130"/>
    </row>
    <row r="11" spans="2:14" ht="15">
      <c r="B11" s="127">
        <v>8</v>
      </c>
      <c r="C11" s="129">
        <f>'A&amp;D Financing'!L23</f>
        <v>0</v>
      </c>
      <c r="D11" s="129">
        <f>'A&amp;D Financing'!M23</f>
        <v>0</v>
      </c>
      <c r="E11" s="31">
        <f>('Lot Sales'!C20*Dashboard!$F$4+'Lot Sales'!D20*Dashboard!$F$5)/'A&amp;D Costs'!$C$12+E10</f>
        <v>1</v>
      </c>
      <c r="F11" s="129">
        <f>'Lot Sales'!C20*Dashboard!$F$4*'Lot Sales'!$C$5+'Lot Sales'!D20*Dashboard!$F$5*'Lot Sales'!$C$6</f>
        <v>0</v>
      </c>
      <c r="G11" s="129">
        <f t="shared" si="0"/>
        <v>0</v>
      </c>
      <c r="H11" s="129">
        <f t="shared" si="3"/>
        <v>0</v>
      </c>
      <c r="I11" s="12">
        <f t="shared" si="1"/>
        <v>0</v>
      </c>
      <c r="J11" s="129">
        <f>(I11)*('A&amp;D Financing'!$C$9)</f>
        <v>0</v>
      </c>
      <c r="K11" s="129">
        <f t="shared" si="2"/>
        <v>0</v>
      </c>
      <c r="L11" s="129">
        <f>'A&amp;D Op Exp'!$C$15*(1-E11)*(1+'A&amp;D Op Exp'!$C$9)^(B11-1)</f>
        <v>0</v>
      </c>
      <c r="M11" s="129">
        <v>0</v>
      </c>
      <c r="N11" s="130"/>
    </row>
    <row r="12" spans="2:14" ht="15">
      <c r="B12" s="127">
        <v>9</v>
      </c>
      <c r="C12" s="129">
        <f>'A&amp;D Financing'!L24</f>
        <v>0</v>
      </c>
      <c r="D12" s="129">
        <f>'A&amp;D Financing'!M24</f>
        <v>0</v>
      </c>
      <c r="E12" s="31">
        <f>('Lot Sales'!C21*Dashboard!$F$4+'Lot Sales'!D21*Dashboard!$F$5)/'A&amp;D Costs'!$C$12+E11</f>
        <v>1</v>
      </c>
      <c r="F12" s="129">
        <f>'Lot Sales'!C21*Dashboard!$F$4*'Lot Sales'!$C$5+'Lot Sales'!D21*Dashboard!$F$5*'Lot Sales'!$C$6</f>
        <v>0</v>
      </c>
      <c r="G12" s="129">
        <f t="shared" si="0"/>
        <v>0</v>
      </c>
      <c r="H12" s="129">
        <f t="shared" si="3"/>
        <v>0</v>
      </c>
      <c r="I12" s="12">
        <f t="shared" si="1"/>
        <v>0</v>
      </c>
      <c r="J12" s="129">
        <f>(I12)*('A&amp;D Financing'!$C$9)</f>
        <v>0</v>
      </c>
      <c r="K12" s="129">
        <f t="shared" si="2"/>
        <v>0</v>
      </c>
      <c r="L12" s="129">
        <f>'A&amp;D Op Exp'!$C$15*(1-E12)*(1+'A&amp;D Op Exp'!$C$9)^(B12-1)</f>
        <v>0</v>
      </c>
      <c r="M12" s="129">
        <v>0</v>
      </c>
      <c r="N12" s="130"/>
    </row>
    <row r="13" spans="2:14" ht="15">
      <c r="B13" s="127">
        <v>10</v>
      </c>
      <c r="C13" s="129">
        <f>'A&amp;D Financing'!L25</f>
        <v>0</v>
      </c>
      <c r="D13" s="129">
        <f>'A&amp;D Financing'!M25</f>
        <v>0</v>
      </c>
      <c r="E13" s="31">
        <f>('Lot Sales'!C22*Dashboard!$F$4+'Lot Sales'!D22*Dashboard!$F$5)/'A&amp;D Costs'!$C$12+E12</f>
        <v>1</v>
      </c>
      <c r="F13" s="129">
        <f>'Lot Sales'!C22*Dashboard!$F$4*'Lot Sales'!$C$5+'Lot Sales'!D22*Dashboard!$F$5*'Lot Sales'!$C$6</f>
        <v>0</v>
      </c>
      <c r="G13" s="129">
        <f t="shared" si="0"/>
        <v>0</v>
      </c>
      <c r="H13" s="129">
        <f t="shared" si="3"/>
        <v>0</v>
      </c>
      <c r="I13" s="12">
        <f t="shared" si="1"/>
        <v>0</v>
      </c>
      <c r="J13" s="129">
        <f>(I13)*('A&amp;D Financing'!$C$9)</f>
        <v>0</v>
      </c>
      <c r="K13" s="129">
        <f t="shared" si="2"/>
        <v>0</v>
      </c>
      <c r="L13" s="129">
        <f>'A&amp;D Op Exp'!$C$15*(1-E13)*(1+'A&amp;D Op Exp'!$C$9)^(B13-1)</f>
        <v>0</v>
      </c>
      <c r="M13" s="129">
        <v>0</v>
      </c>
      <c r="N13" s="130"/>
    </row>
    <row r="14" spans="2:14" ht="15">
      <c r="B14" s="127">
        <v>11</v>
      </c>
      <c r="C14" s="129">
        <f>'A&amp;D Financing'!L26</f>
        <v>0</v>
      </c>
      <c r="D14" s="129">
        <f>'A&amp;D Financing'!M26</f>
        <v>0</v>
      </c>
      <c r="E14" s="31">
        <f>('Lot Sales'!C23*Dashboard!$F$4+'Lot Sales'!D23*Dashboard!$F$5)/'A&amp;D Costs'!$C$12+E13</f>
        <v>1</v>
      </c>
      <c r="F14" s="129">
        <f>'Lot Sales'!C23*Dashboard!$F$4*'Lot Sales'!$C$5+'Lot Sales'!D23*Dashboard!$F$5*'Lot Sales'!$C$6</f>
        <v>0</v>
      </c>
      <c r="G14" s="129">
        <f t="shared" si="0"/>
        <v>0</v>
      </c>
      <c r="H14" s="129">
        <f t="shared" si="3"/>
        <v>0</v>
      </c>
      <c r="I14" s="12">
        <f t="shared" si="1"/>
        <v>0</v>
      </c>
      <c r="J14" s="129">
        <f>(I14)*('A&amp;D Financing'!$C$9)</f>
        <v>0</v>
      </c>
      <c r="K14" s="129">
        <f t="shared" si="2"/>
        <v>0</v>
      </c>
      <c r="L14" s="129">
        <f>'A&amp;D Op Exp'!$C$15*(1-E14)*(1+'A&amp;D Op Exp'!$C$9)^(B14-1)</f>
        <v>0</v>
      </c>
      <c r="M14" s="129">
        <v>0</v>
      </c>
      <c r="N14" s="130"/>
    </row>
    <row r="15" spans="2:14" ht="15">
      <c r="B15" s="127">
        <v>12</v>
      </c>
      <c r="C15" s="129">
        <f>'A&amp;D Financing'!L27</f>
        <v>0</v>
      </c>
      <c r="D15" s="129">
        <f>'A&amp;D Financing'!M27</f>
        <v>0</v>
      </c>
      <c r="E15" s="31">
        <f>('Lot Sales'!C24*Dashboard!$F$4+'Lot Sales'!D24*Dashboard!$F$5)/'A&amp;D Costs'!$C$12+E14</f>
        <v>1</v>
      </c>
      <c r="F15" s="129">
        <f>'Lot Sales'!C24*Dashboard!$F$4*'Lot Sales'!$C$5+'Lot Sales'!D24*Dashboard!$F$5*'Lot Sales'!$C$6</f>
        <v>0</v>
      </c>
      <c r="G15" s="129">
        <f t="shared" si="0"/>
        <v>0</v>
      </c>
      <c r="H15" s="129">
        <f t="shared" si="3"/>
        <v>0</v>
      </c>
      <c r="I15" s="12">
        <f t="shared" si="1"/>
        <v>0</v>
      </c>
      <c r="J15" s="129">
        <f>(I15)*('A&amp;D Financing'!$C$9)</f>
        <v>0</v>
      </c>
      <c r="K15" s="129">
        <f t="shared" si="2"/>
        <v>0</v>
      </c>
      <c r="L15" s="129">
        <f>'A&amp;D Op Exp'!$C$15*(1-E15)*(1+'A&amp;D Op Exp'!$C$9)^(B15-1)</f>
        <v>0</v>
      </c>
      <c r="M15" s="129">
        <v>0</v>
      </c>
      <c r="N15" s="130"/>
    </row>
    <row r="16" spans="2:14" ht="15">
      <c r="B16" s="127">
        <v>13</v>
      </c>
      <c r="C16" s="129">
        <f>'A&amp;D Financing'!L28</f>
        <v>0</v>
      </c>
      <c r="D16" s="129">
        <f>'A&amp;D Financing'!M28</f>
        <v>0</v>
      </c>
      <c r="E16" s="31">
        <f>('Lot Sales'!C25*Dashboard!$F$4+'Lot Sales'!D25*Dashboard!$F$5)/'A&amp;D Costs'!$C$12+E15</f>
        <v>1</v>
      </c>
      <c r="F16" s="129">
        <f>'Lot Sales'!C25*Dashboard!$F$4*'Lot Sales'!$C$5+'Lot Sales'!D25*Dashboard!$F$5*'Lot Sales'!$C$6</f>
        <v>0</v>
      </c>
      <c r="G16" s="129">
        <f t="shared" si="0"/>
        <v>0</v>
      </c>
      <c r="H16" s="129">
        <f t="shared" si="3"/>
        <v>0</v>
      </c>
      <c r="I16" s="12">
        <f t="shared" si="1"/>
        <v>0</v>
      </c>
      <c r="J16" s="129">
        <f>(I16)*('A&amp;D Financing'!$C$9)</f>
        <v>0</v>
      </c>
      <c r="K16" s="129">
        <f t="shared" si="2"/>
        <v>0</v>
      </c>
      <c r="L16" s="129">
        <f>'A&amp;D Op Exp'!$C$15*(1-E16)*(1+'A&amp;D Op Exp'!$C$9)^(B16-1)</f>
        <v>0</v>
      </c>
      <c r="M16" s="129">
        <v>0</v>
      </c>
      <c r="N16" s="130"/>
    </row>
    <row r="17" spans="2:14" ht="15">
      <c r="B17" s="127">
        <v>14</v>
      </c>
      <c r="C17" s="129">
        <f>'A&amp;D Financing'!L29</f>
        <v>0</v>
      </c>
      <c r="D17" s="129">
        <f>'A&amp;D Financing'!M29</f>
        <v>0</v>
      </c>
      <c r="E17" s="31">
        <f>('Lot Sales'!C26*Dashboard!$F$4+'Lot Sales'!D26*Dashboard!$F$5)/'A&amp;D Costs'!$C$12+E16</f>
        <v>1</v>
      </c>
      <c r="F17" s="129">
        <f>'Lot Sales'!C26*Dashboard!$F$4*'Lot Sales'!$C$5+'Lot Sales'!D26*Dashboard!$F$5*'Lot Sales'!$C$6</f>
        <v>0</v>
      </c>
      <c r="G17" s="129">
        <f t="shared" si="0"/>
        <v>0</v>
      </c>
      <c r="H17" s="129">
        <f t="shared" si="3"/>
        <v>0</v>
      </c>
      <c r="I17" s="12">
        <f t="shared" si="1"/>
        <v>0</v>
      </c>
      <c r="J17" s="129">
        <f>(I17)*('A&amp;D Financing'!$C$9)</f>
        <v>0</v>
      </c>
      <c r="K17" s="129">
        <f t="shared" si="2"/>
        <v>0</v>
      </c>
      <c r="L17" s="129">
        <f>'A&amp;D Op Exp'!$C$15*(1-E17)*(1+'A&amp;D Op Exp'!$C$9)^(B17-1)</f>
        <v>0</v>
      </c>
      <c r="M17" s="129">
        <v>0</v>
      </c>
      <c r="N17" s="130"/>
    </row>
    <row r="18" spans="2:14" ht="15">
      <c r="B18" s="127">
        <v>15</v>
      </c>
      <c r="C18" s="129">
        <f>'A&amp;D Financing'!L30</f>
        <v>0</v>
      </c>
      <c r="D18" s="129">
        <f>'A&amp;D Financing'!M30</f>
        <v>0</v>
      </c>
      <c r="E18" s="31">
        <f>('Lot Sales'!C27*Dashboard!$F$4+'Lot Sales'!D27*Dashboard!$F$5)/'A&amp;D Costs'!$C$12+E17</f>
        <v>1</v>
      </c>
      <c r="F18" s="129">
        <f>'Lot Sales'!C27*Dashboard!$F$4*'Lot Sales'!$C$5+'Lot Sales'!D27*Dashboard!$F$5*'Lot Sales'!$C$6</f>
        <v>0</v>
      </c>
      <c r="G18" s="129">
        <f t="shared" si="0"/>
        <v>0</v>
      </c>
      <c r="H18" s="129">
        <f t="shared" si="3"/>
        <v>0</v>
      </c>
      <c r="I18" s="12">
        <f t="shared" si="1"/>
        <v>0</v>
      </c>
      <c r="J18" s="129">
        <f>(I18)*('A&amp;D Financing'!$C$9)</f>
        <v>0</v>
      </c>
      <c r="K18" s="129">
        <f t="shared" si="2"/>
        <v>0</v>
      </c>
      <c r="L18" s="129">
        <f>'A&amp;D Op Exp'!$C$15*(1-E18)*(1+'A&amp;D Op Exp'!$C$9)^(B18-1)</f>
        <v>0</v>
      </c>
      <c r="M18" s="129">
        <v>0</v>
      </c>
      <c r="N18" s="130"/>
    </row>
    <row r="19" spans="2:14" ht="15">
      <c r="B19" s="127">
        <v>16</v>
      </c>
      <c r="C19" s="129">
        <f>'A&amp;D Financing'!L31</f>
        <v>0</v>
      </c>
      <c r="D19" s="129">
        <f>'A&amp;D Financing'!M31</f>
        <v>0</v>
      </c>
      <c r="E19" s="31">
        <f>('Lot Sales'!C28*Dashboard!$F$4+'Lot Sales'!D28*Dashboard!$F$5)/'A&amp;D Costs'!$C$12+E18</f>
        <v>1</v>
      </c>
      <c r="F19" s="129">
        <f>'Lot Sales'!C28*Dashboard!$F$4*'Lot Sales'!$C$5+'Lot Sales'!D28*Dashboard!$F$5*'Lot Sales'!$C$6</f>
        <v>0</v>
      </c>
      <c r="G19" s="129">
        <f t="shared" si="0"/>
        <v>0</v>
      </c>
      <c r="H19" s="129">
        <f t="shared" si="3"/>
        <v>0</v>
      </c>
      <c r="I19" s="12">
        <f t="shared" si="1"/>
        <v>0</v>
      </c>
      <c r="J19" s="129">
        <f>(I19)*('A&amp;D Financing'!$C$9)</f>
        <v>0</v>
      </c>
      <c r="K19" s="129">
        <f t="shared" si="2"/>
        <v>0</v>
      </c>
      <c r="L19" s="129">
        <f>'A&amp;D Op Exp'!$C$15*(1-E19)*(1+'A&amp;D Op Exp'!$C$9)^(B19-1)</f>
        <v>0</v>
      </c>
      <c r="M19" s="129">
        <v>0</v>
      </c>
      <c r="N19" s="130"/>
    </row>
    <row r="20" spans="2:14" ht="15">
      <c r="B20" s="127">
        <v>17</v>
      </c>
      <c r="C20" s="129">
        <f>'A&amp;D Financing'!L32</f>
        <v>0</v>
      </c>
      <c r="D20" s="129">
        <f>'A&amp;D Financing'!M32</f>
        <v>0</v>
      </c>
      <c r="E20" s="31">
        <f>('Lot Sales'!C29*Dashboard!$F$4+'Lot Sales'!D29*Dashboard!$F$5)/'A&amp;D Costs'!$C$12+E19</f>
        <v>1</v>
      </c>
      <c r="F20" s="129">
        <f>'Lot Sales'!C29*Dashboard!$F$4*'Lot Sales'!$C$5+'Lot Sales'!D29*Dashboard!$F$5*'Lot Sales'!$C$6</f>
        <v>0</v>
      </c>
      <c r="G20" s="129">
        <f t="shared" si="0"/>
        <v>0</v>
      </c>
      <c r="H20" s="129">
        <f t="shared" si="3"/>
        <v>0</v>
      </c>
      <c r="I20" s="12">
        <f t="shared" si="1"/>
        <v>0</v>
      </c>
      <c r="J20" s="129">
        <f>(I20)*('A&amp;D Financing'!$C$9)</f>
        <v>0</v>
      </c>
      <c r="K20" s="129">
        <f t="shared" si="2"/>
        <v>0</v>
      </c>
      <c r="L20" s="129">
        <f>'A&amp;D Op Exp'!$C$15*(1-E20)*(1+'A&amp;D Op Exp'!$C$9)^(B20-1)</f>
        <v>0</v>
      </c>
      <c r="M20" s="129">
        <v>0</v>
      </c>
      <c r="N20" s="130"/>
    </row>
    <row r="21" spans="2:14" ht="15">
      <c r="B21" s="127">
        <v>18</v>
      </c>
      <c r="C21" s="129">
        <f>'A&amp;D Financing'!L33</f>
        <v>0</v>
      </c>
      <c r="D21" s="129">
        <f>'A&amp;D Financing'!M33</f>
        <v>0</v>
      </c>
      <c r="E21" s="31">
        <f>('Lot Sales'!C30*Dashboard!$F$4+'Lot Sales'!D30*Dashboard!$F$5)/'A&amp;D Costs'!$C$12+E20</f>
        <v>1</v>
      </c>
      <c r="F21" s="129">
        <f>'Lot Sales'!C30*Dashboard!$F$4*'Lot Sales'!$C$5+'Lot Sales'!D30*Dashboard!$F$5*'Lot Sales'!$C$6</f>
        <v>0</v>
      </c>
      <c r="G21" s="129">
        <f t="shared" si="0"/>
        <v>0</v>
      </c>
      <c r="H21" s="129">
        <f t="shared" si="3"/>
        <v>0</v>
      </c>
      <c r="I21" s="12">
        <f t="shared" si="1"/>
        <v>0</v>
      </c>
      <c r="J21" s="129">
        <f>(I21)*('A&amp;D Financing'!$C$9)</f>
        <v>0</v>
      </c>
      <c r="K21" s="129">
        <f t="shared" si="2"/>
        <v>0</v>
      </c>
      <c r="L21" s="129">
        <f>'A&amp;D Op Exp'!$C$15*(1-E21)*(1+'A&amp;D Op Exp'!$C$9)^(B21-1)</f>
        <v>0</v>
      </c>
      <c r="M21" s="129">
        <v>0</v>
      </c>
      <c r="N21" s="130"/>
    </row>
    <row r="22" spans="2:14" ht="15">
      <c r="B22" s="127">
        <v>19</v>
      </c>
      <c r="C22" s="129">
        <f>'A&amp;D Financing'!L34</f>
        <v>0</v>
      </c>
      <c r="D22" s="129">
        <f>'A&amp;D Financing'!M34</f>
        <v>0</v>
      </c>
      <c r="E22" s="31">
        <f>('Lot Sales'!C31*Dashboard!$F$4+'Lot Sales'!D31*Dashboard!$F$5)/'A&amp;D Costs'!$C$12+E21</f>
        <v>1</v>
      </c>
      <c r="F22" s="129">
        <f>'Lot Sales'!C31*Dashboard!$F$4*'Lot Sales'!$C$5+'Lot Sales'!D31*Dashboard!$F$5*'Lot Sales'!$C$6</f>
        <v>0</v>
      </c>
      <c r="G22" s="129">
        <f t="shared" si="0"/>
        <v>0</v>
      </c>
      <c r="H22" s="129">
        <f t="shared" si="3"/>
        <v>0</v>
      </c>
      <c r="I22" s="12">
        <f t="shared" si="1"/>
        <v>0</v>
      </c>
      <c r="J22" s="129">
        <f>(I22)*('A&amp;D Financing'!$C$9)</f>
        <v>0</v>
      </c>
      <c r="K22" s="129">
        <f t="shared" si="2"/>
        <v>0</v>
      </c>
      <c r="L22" s="129">
        <f>'A&amp;D Op Exp'!$C$15*(1-E22)*(1+'A&amp;D Op Exp'!$C$9)^(B22-1)</f>
        <v>0</v>
      </c>
      <c r="M22" s="129">
        <v>0</v>
      </c>
      <c r="N22" s="130"/>
    </row>
    <row r="23" spans="2:15" ht="15">
      <c r="B23" s="127">
        <v>20</v>
      </c>
      <c r="C23" s="129">
        <f>'A&amp;D Financing'!L35</f>
        <v>0</v>
      </c>
      <c r="D23" s="129">
        <f>'A&amp;D Financing'!M35</f>
        <v>0</v>
      </c>
      <c r="E23" s="31">
        <f>('Lot Sales'!C32*Dashboard!$F$4+'Lot Sales'!D32*Dashboard!$F$5)/'A&amp;D Costs'!$C$12+E22</f>
        <v>1</v>
      </c>
      <c r="F23" s="129">
        <f>'Lot Sales'!C32*Dashboard!$F$4*'Lot Sales'!$C$5+'Lot Sales'!D32*Dashboard!$F$5*'Lot Sales'!$C$6</f>
        <v>0</v>
      </c>
      <c r="G23" s="129">
        <f t="shared" si="0"/>
        <v>0</v>
      </c>
      <c r="H23" s="129">
        <f t="shared" si="3"/>
        <v>0</v>
      </c>
      <c r="I23" s="12">
        <f t="shared" si="1"/>
        <v>0</v>
      </c>
      <c r="J23" s="129">
        <f>(I23)*('A&amp;D Financing'!$C$9)</f>
        <v>0</v>
      </c>
      <c r="K23" s="129">
        <f t="shared" si="2"/>
        <v>0</v>
      </c>
      <c r="L23" s="129">
        <f>'A&amp;D Op Exp'!$C$15*(1-E23)*(1+'A&amp;D Op Exp'!$C$9)^(B23-1)</f>
        <v>0</v>
      </c>
      <c r="M23" s="129">
        <v>0</v>
      </c>
      <c r="N23" s="130"/>
      <c r="O23" s="76" t="s">
        <v>277</v>
      </c>
    </row>
    <row r="24" spans="2:15" ht="15.75" thickBot="1">
      <c r="B24" s="131"/>
      <c r="C24" s="132"/>
      <c r="D24" s="132"/>
      <c r="E24" s="64"/>
      <c r="F24" s="132"/>
      <c r="G24" s="132"/>
      <c r="H24" s="132"/>
      <c r="I24" s="13"/>
      <c r="J24" s="132"/>
      <c r="K24" s="132"/>
      <c r="L24" s="132"/>
      <c r="M24" s="132"/>
      <c r="N24" s="133"/>
      <c r="O24" s="165"/>
    </row>
    <row r="26" ht="15.75" thickBot="1"/>
    <row r="27" spans="2:14" ht="15.75" thickBot="1">
      <c r="B27" s="61" t="s">
        <v>75</v>
      </c>
      <c r="C27" s="60" t="s">
        <v>0</v>
      </c>
      <c r="D27" s="60"/>
      <c r="E27" s="46"/>
      <c r="F27" s="46"/>
      <c r="G27" s="46"/>
      <c r="H27" s="46"/>
      <c r="I27" s="46"/>
      <c r="J27" s="46"/>
      <c r="K27" s="46"/>
      <c r="L27" s="46"/>
      <c r="M27" s="46"/>
      <c r="N27" s="47"/>
    </row>
    <row r="28" spans="2:14" ht="30">
      <c r="B28" s="134" t="s">
        <v>12</v>
      </c>
      <c r="C28" s="484" t="s">
        <v>104</v>
      </c>
      <c r="D28" s="484" t="s">
        <v>106</v>
      </c>
      <c r="E28" s="484" t="s">
        <v>176</v>
      </c>
      <c r="F28" s="484" t="s">
        <v>36</v>
      </c>
      <c r="G28" s="484" t="s">
        <v>174</v>
      </c>
      <c r="H28" s="484" t="s">
        <v>274</v>
      </c>
      <c r="I28" s="484" t="s">
        <v>273</v>
      </c>
      <c r="J28" s="484" t="s">
        <v>275</v>
      </c>
      <c r="K28" s="484" t="s">
        <v>276</v>
      </c>
      <c r="L28" s="484" t="s">
        <v>50</v>
      </c>
      <c r="M28" s="484" t="s">
        <v>102</v>
      </c>
      <c r="N28" s="138"/>
    </row>
    <row r="29" spans="2:15" ht="15">
      <c r="B29" s="127">
        <v>1</v>
      </c>
      <c r="C29" s="129">
        <f>'A&amp;D Financing'!N16</f>
        <v>936000</v>
      </c>
      <c r="D29" s="129">
        <f>'A&amp;D Financing'!O16</f>
        <v>224250</v>
      </c>
      <c r="E29" s="31">
        <f>('Lot Sales'!G13*Dashboard!$G$4+'Lot Sales'!H13*Dashboard!$G$5)/'A&amp;D Costs'!$E$12</f>
        <v>0</v>
      </c>
      <c r="F29" s="129">
        <f>'Lot Sales'!G13*Dashboard!$G$4*'Lot Sales'!$D$5+'Lot Sales'!H13*Dashboard!$G$5*'Lot Sales'!$D$6</f>
        <v>0</v>
      </c>
      <c r="G29" s="129">
        <v>0</v>
      </c>
      <c r="H29" s="129">
        <f>MIN(F29,C29)</f>
        <v>0</v>
      </c>
      <c r="I29" s="12">
        <f>MAX(C29,0)</f>
        <v>936000</v>
      </c>
      <c r="J29" s="129">
        <f>(I29)*('A&amp;D Financing'!$C$9)</f>
        <v>60840</v>
      </c>
      <c r="K29" s="129">
        <f>J29-G29</f>
        <v>60840</v>
      </c>
      <c r="L29" s="129">
        <f>'A&amp;D Op Exp'!$D$15*(1-E29)</f>
        <v>68000</v>
      </c>
      <c r="M29" s="129">
        <f>'A&amp;D Financing'!E11*'A&amp;D Financing'!E44</f>
        <v>14400</v>
      </c>
      <c r="N29" s="130"/>
      <c r="O29" s="135"/>
    </row>
    <row r="30" spans="2:15" ht="15">
      <c r="B30" s="127">
        <v>2</v>
      </c>
      <c r="C30" s="129">
        <f>'A&amp;D Financing'!N17</f>
        <v>504000</v>
      </c>
      <c r="D30" s="129">
        <f>'A&amp;D Financing'!O17</f>
        <v>120750</v>
      </c>
      <c r="E30" s="31">
        <f>('Lot Sales'!G14*Dashboard!$G$4+'Lot Sales'!H14*Dashboard!$G$5)/'A&amp;D Costs'!$E$12+E29</f>
        <v>0.05000000000000001</v>
      </c>
      <c r="F30" s="129">
        <f>'Lot Sales'!G14*Dashboard!$G$4*'Lot Sales'!$D$5+'Lot Sales'!H14*Dashboard!$G$5*'Lot Sales'!$D$6</f>
        <v>145811.1193893725</v>
      </c>
      <c r="G30" s="129">
        <f aca="true" t="shared" si="4" ref="G30:G48">MIN(K29,F30)</f>
        <v>60840</v>
      </c>
      <c r="H30" s="129">
        <f>MIN(F30-G30,I29)</f>
        <v>84971.1193893725</v>
      </c>
      <c r="I30" s="12">
        <f aca="true" t="shared" si="5" ref="I30:I48">MAX(I29+C30-H30,0)</f>
        <v>1355028.8806106276</v>
      </c>
      <c r="J30" s="129">
        <f>(I30)*('A&amp;D Financing'!$C$9)</f>
        <v>88076.8772396908</v>
      </c>
      <c r="K30" s="129">
        <f aca="true" t="shared" si="6" ref="K30:K48">K29+J30-G30</f>
        <v>88076.8772396908</v>
      </c>
      <c r="L30" s="129">
        <f>'A&amp;D Op Exp'!$D$15*(1-E30)*(1+'A&amp;D Op Exp'!$E$9)^(B5-1)</f>
        <v>64600</v>
      </c>
      <c r="M30" s="129">
        <v>0</v>
      </c>
      <c r="N30" s="130"/>
      <c r="O30" s="135"/>
    </row>
    <row r="31" spans="2:15" ht="15">
      <c r="B31" s="127">
        <v>3</v>
      </c>
      <c r="C31" s="129">
        <f>'A&amp;D Financing'!N18</f>
        <v>0</v>
      </c>
      <c r="D31" s="129">
        <f>'A&amp;D Financing'!O18</f>
        <v>0</v>
      </c>
      <c r="E31" s="31">
        <f>('Lot Sales'!G15*Dashboard!$G$4+'Lot Sales'!H15*Dashboard!$G$5)/'A&amp;D Costs'!$E$12+E30</f>
        <v>0.25000000000000006</v>
      </c>
      <c r="F31" s="129">
        <f>'Lot Sales'!G15*Dashboard!$G$4*'Lot Sales'!$D$5+'Lot Sales'!H15*Dashboard!$G$5*'Lot Sales'!$D$6</f>
        <v>583244.47755749</v>
      </c>
      <c r="G31" s="129">
        <f t="shared" si="4"/>
        <v>88076.8772396908</v>
      </c>
      <c r="H31" s="129">
        <f aca="true" t="shared" si="7" ref="H31:H48">MIN(F31-G31,I30)</f>
        <v>495167.6003177992</v>
      </c>
      <c r="I31" s="12">
        <f t="shared" si="5"/>
        <v>859861.2802928283</v>
      </c>
      <c r="J31" s="129">
        <f>(I31)*('A&amp;D Financing'!$C$9)</f>
        <v>55890.98321903384</v>
      </c>
      <c r="K31" s="129">
        <f t="shared" si="6"/>
        <v>55890.983219033835</v>
      </c>
      <c r="L31" s="129">
        <f>'A&amp;D Op Exp'!$D$15*(1-E31)*(1+'A&amp;D Op Exp'!$E$9)^(B6-1)</f>
        <v>51000</v>
      </c>
      <c r="M31" s="129">
        <v>0</v>
      </c>
      <c r="N31" s="130"/>
      <c r="O31" s="135"/>
    </row>
    <row r="32" spans="2:15" ht="15">
      <c r="B32" s="127">
        <v>4</v>
      </c>
      <c r="C32" s="129">
        <f>'A&amp;D Financing'!N19</f>
        <v>0</v>
      </c>
      <c r="D32" s="129">
        <f>'A&amp;D Financing'!O19</f>
        <v>0</v>
      </c>
      <c r="E32" s="31">
        <f>('Lot Sales'!G16*Dashboard!$G$4+'Lot Sales'!H16*Dashboard!$G$5)/'A&amp;D Costs'!$E$12+E31</f>
        <v>0.5</v>
      </c>
      <c r="F32" s="129">
        <f>'Lot Sales'!G16*Dashboard!$G$4*'Lot Sales'!$D$5+'Lot Sales'!H16*Dashboard!$G$5*'Lot Sales'!$D$6</f>
        <v>729055.5969468623</v>
      </c>
      <c r="G32" s="129">
        <f t="shared" si="4"/>
        <v>55890.983219033835</v>
      </c>
      <c r="H32" s="129">
        <f t="shared" si="7"/>
        <v>673164.6137278285</v>
      </c>
      <c r="I32" s="12">
        <f t="shared" si="5"/>
        <v>186696.66656499985</v>
      </c>
      <c r="J32" s="129">
        <f>(I32)*('A&amp;D Financing'!$C$9)</f>
        <v>12135.28332672499</v>
      </c>
      <c r="K32" s="129">
        <f t="shared" si="6"/>
        <v>12135.283326724995</v>
      </c>
      <c r="L32" s="129">
        <f>'A&amp;D Op Exp'!$D$15*(1-E32)*(1+'A&amp;D Op Exp'!$E$9)^(B7-1)</f>
        <v>34000</v>
      </c>
      <c r="M32" s="129">
        <v>0</v>
      </c>
      <c r="N32" s="130"/>
      <c r="O32" s="135"/>
    </row>
    <row r="33" spans="2:15" ht="15">
      <c r="B33" s="127">
        <v>5</v>
      </c>
      <c r="C33" s="129">
        <f>'A&amp;D Financing'!N20</f>
        <v>0</v>
      </c>
      <c r="D33" s="129">
        <f>'A&amp;D Financing'!O20</f>
        <v>0</v>
      </c>
      <c r="E33" s="31">
        <f>('Lot Sales'!G17*Dashboard!$G$4+'Lot Sales'!H17*Dashboard!$G$5)/'A&amp;D Costs'!$E$12+E32</f>
        <v>0.75</v>
      </c>
      <c r="F33" s="129">
        <f>'Lot Sales'!G17*Dashboard!$G$4*'Lot Sales'!$D$5+'Lot Sales'!H17*Dashboard!$G$5*'Lot Sales'!$D$6</f>
        <v>729055.5969468623</v>
      </c>
      <c r="G33" s="129">
        <f t="shared" si="4"/>
        <v>12135.283326724995</v>
      </c>
      <c r="H33" s="129">
        <f t="shared" si="7"/>
        <v>186696.66656499985</v>
      </c>
      <c r="I33" s="12">
        <f t="shared" si="5"/>
        <v>0</v>
      </c>
      <c r="J33" s="129">
        <f>(I33)*('A&amp;D Financing'!$C$9)</f>
        <v>0</v>
      </c>
      <c r="K33" s="129">
        <f t="shared" si="6"/>
        <v>0</v>
      </c>
      <c r="L33" s="129">
        <f>'A&amp;D Op Exp'!$D$15*(1-E33)*(1+'A&amp;D Op Exp'!$E$9)^(B8-1)</f>
        <v>17000</v>
      </c>
      <c r="M33" s="129">
        <v>0</v>
      </c>
      <c r="N33" s="130"/>
      <c r="O33" s="135"/>
    </row>
    <row r="34" spans="2:14" ht="15">
      <c r="B34" s="127">
        <v>6</v>
      </c>
      <c r="C34" s="129">
        <f>'A&amp;D Financing'!N21</f>
        <v>0</v>
      </c>
      <c r="D34" s="129">
        <f>'A&amp;D Financing'!O21</f>
        <v>0</v>
      </c>
      <c r="E34" s="31">
        <f>('Lot Sales'!G18*Dashboard!$G$4+'Lot Sales'!H18*Dashboard!$G$5)/'A&amp;D Costs'!$E$12+E33</f>
        <v>0.9500000000000001</v>
      </c>
      <c r="F34" s="129">
        <f>'Lot Sales'!G18*Dashboard!$G$4*'Lot Sales'!$D$5+'Lot Sales'!H18*Dashboard!$G$5*'Lot Sales'!$D$6</f>
        <v>583244.47755749</v>
      </c>
      <c r="G34" s="129">
        <f t="shared" si="4"/>
        <v>0</v>
      </c>
      <c r="H34" s="129">
        <f t="shared" si="7"/>
        <v>0</v>
      </c>
      <c r="I34" s="12">
        <f t="shared" si="5"/>
        <v>0</v>
      </c>
      <c r="J34" s="129">
        <f>(I34)*('A&amp;D Financing'!$C$9)</f>
        <v>0</v>
      </c>
      <c r="K34" s="129">
        <f t="shared" si="6"/>
        <v>0</v>
      </c>
      <c r="L34" s="129">
        <f>'A&amp;D Op Exp'!$D$15*(1-E34)*(1+'A&amp;D Op Exp'!$E$9)^(B9-1)</f>
        <v>3399.9999999999955</v>
      </c>
      <c r="M34" s="129">
        <v>0</v>
      </c>
      <c r="N34" s="130"/>
    </row>
    <row r="35" spans="2:14" ht="15">
      <c r="B35" s="127">
        <v>7</v>
      </c>
      <c r="C35" s="129">
        <f>'A&amp;D Financing'!N22</f>
        <v>0</v>
      </c>
      <c r="D35" s="129">
        <f>'A&amp;D Financing'!O22</f>
        <v>0</v>
      </c>
      <c r="E35" s="31">
        <f>('Lot Sales'!G19*Dashboard!$G$4+'Lot Sales'!H19*Dashboard!$G$5)/'A&amp;D Costs'!$E$12+E34</f>
        <v>1</v>
      </c>
      <c r="F35" s="129">
        <f>'Lot Sales'!G19*Dashboard!$G$4*'Lot Sales'!$D$5+'Lot Sales'!H19*Dashboard!$G$5*'Lot Sales'!$D$6</f>
        <v>145811.1193893725</v>
      </c>
      <c r="G35" s="129">
        <f t="shared" si="4"/>
        <v>0</v>
      </c>
      <c r="H35" s="129">
        <f t="shared" si="7"/>
        <v>0</v>
      </c>
      <c r="I35" s="12">
        <f t="shared" si="5"/>
        <v>0</v>
      </c>
      <c r="J35" s="129">
        <f>(I35)*('A&amp;D Financing'!$C$9)</f>
        <v>0</v>
      </c>
      <c r="K35" s="129">
        <f t="shared" si="6"/>
        <v>0</v>
      </c>
      <c r="L35" s="129">
        <f>'A&amp;D Op Exp'!$D$15*(1-E35)*(1+'A&amp;D Op Exp'!$E$9)^(B10-1)</f>
        <v>0</v>
      </c>
      <c r="M35" s="129">
        <v>0</v>
      </c>
      <c r="N35" s="130"/>
    </row>
    <row r="36" spans="2:14" ht="15">
      <c r="B36" s="127">
        <v>8</v>
      </c>
      <c r="C36" s="129">
        <f>'A&amp;D Financing'!N23</f>
        <v>0</v>
      </c>
      <c r="D36" s="129">
        <f>'A&amp;D Financing'!O23</f>
        <v>0</v>
      </c>
      <c r="E36" s="31">
        <f>('Lot Sales'!G20*Dashboard!$G$4+'Lot Sales'!H20*Dashboard!$G$5)/'A&amp;D Costs'!$E$12+E35</f>
        <v>1</v>
      </c>
      <c r="F36" s="129">
        <f>'Lot Sales'!G20*Dashboard!$G$4*'Lot Sales'!$D$5+'Lot Sales'!H20*Dashboard!$G$5*'Lot Sales'!$D$6</f>
        <v>0</v>
      </c>
      <c r="G36" s="129">
        <f t="shared" si="4"/>
        <v>0</v>
      </c>
      <c r="H36" s="129">
        <f t="shared" si="7"/>
        <v>0</v>
      </c>
      <c r="I36" s="12">
        <f t="shared" si="5"/>
        <v>0</v>
      </c>
      <c r="J36" s="129">
        <f>(I36)*('A&amp;D Financing'!$C$9)</f>
        <v>0</v>
      </c>
      <c r="K36" s="129">
        <f t="shared" si="6"/>
        <v>0</v>
      </c>
      <c r="L36" s="129">
        <f>'A&amp;D Op Exp'!$D$15*(1-E36)*(1+'A&amp;D Op Exp'!$E$9)^(B11-1)</f>
        <v>0</v>
      </c>
      <c r="M36" s="129">
        <v>0</v>
      </c>
      <c r="N36" s="130"/>
    </row>
    <row r="37" spans="2:14" ht="15">
      <c r="B37" s="127">
        <v>9</v>
      </c>
      <c r="C37" s="129">
        <f>'A&amp;D Financing'!N24</f>
        <v>0</v>
      </c>
      <c r="D37" s="129">
        <f>'A&amp;D Financing'!O24</f>
        <v>0</v>
      </c>
      <c r="E37" s="31">
        <f>('Lot Sales'!G21*Dashboard!$G$4+'Lot Sales'!H21*Dashboard!$G$5)/'A&amp;D Costs'!$E$12+E36</f>
        <v>1</v>
      </c>
      <c r="F37" s="129">
        <f>'Lot Sales'!G21*Dashboard!$G$4*'Lot Sales'!$D$5+'Lot Sales'!H21*Dashboard!$G$5*'Lot Sales'!$D$6</f>
        <v>0</v>
      </c>
      <c r="G37" s="129">
        <f t="shared" si="4"/>
        <v>0</v>
      </c>
      <c r="H37" s="129">
        <f t="shared" si="7"/>
        <v>0</v>
      </c>
      <c r="I37" s="12">
        <f t="shared" si="5"/>
        <v>0</v>
      </c>
      <c r="J37" s="129">
        <f>(I37)*('A&amp;D Financing'!$C$9)</f>
        <v>0</v>
      </c>
      <c r="K37" s="129">
        <f t="shared" si="6"/>
        <v>0</v>
      </c>
      <c r="L37" s="129">
        <f>'A&amp;D Op Exp'!$D$15*(1-E37)*(1+'A&amp;D Op Exp'!$E$9)^(B12-1)</f>
        <v>0</v>
      </c>
      <c r="M37" s="129">
        <v>0</v>
      </c>
      <c r="N37" s="130"/>
    </row>
    <row r="38" spans="2:14" ht="15">
      <c r="B38" s="127">
        <v>10</v>
      </c>
      <c r="C38" s="129">
        <f>'A&amp;D Financing'!N25</f>
        <v>0</v>
      </c>
      <c r="D38" s="129">
        <f>'A&amp;D Financing'!O25</f>
        <v>0</v>
      </c>
      <c r="E38" s="31">
        <f>('Lot Sales'!G22*Dashboard!$G$4+'Lot Sales'!H22*Dashboard!$G$5)/'A&amp;D Costs'!$E$12+E37</f>
        <v>1</v>
      </c>
      <c r="F38" s="129">
        <f>'Lot Sales'!G22*Dashboard!$G$4*'Lot Sales'!$D$5+'Lot Sales'!H22*Dashboard!$G$5*'Lot Sales'!$D$6</f>
        <v>0</v>
      </c>
      <c r="G38" s="129">
        <f t="shared" si="4"/>
        <v>0</v>
      </c>
      <c r="H38" s="129">
        <f t="shared" si="7"/>
        <v>0</v>
      </c>
      <c r="I38" s="12">
        <f t="shared" si="5"/>
        <v>0</v>
      </c>
      <c r="J38" s="129">
        <f>(I38)*('A&amp;D Financing'!$C$9)</f>
        <v>0</v>
      </c>
      <c r="K38" s="129">
        <f t="shared" si="6"/>
        <v>0</v>
      </c>
      <c r="L38" s="129">
        <f>'A&amp;D Op Exp'!$D$15*(1-E38)*(1+'A&amp;D Op Exp'!$E$9)^(B13-1)</f>
        <v>0</v>
      </c>
      <c r="M38" s="129">
        <v>0</v>
      </c>
      <c r="N38" s="130"/>
    </row>
    <row r="39" spans="2:14" ht="15">
      <c r="B39" s="127">
        <v>11</v>
      </c>
      <c r="C39" s="129">
        <f>'A&amp;D Financing'!N26</f>
        <v>0</v>
      </c>
      <c r="D39" s="129">
        <f>'A&amp;D Financing'!O26</f>
        <v>0</v>
      </c>
      <c r="E39" s="31">
        <f>('Lot Sales'!G23*Dashboard!$G$4+'Lot Sales'!H23*Dashboard!$G$5)/'A&amp;D Costs'!$E$12+E38</f>
        <v>1</v>
      </c>
      <c r="F39" s="129">
        <f>'Lot Sales'!G23*Dashboard!$G$4*'Lot Sales'!$D$5+'Lot Sales'!H23*Dashboard!$G$5*'Lot Sales'!$D$6</f>
        <v>0</v>
      </c>
      <c r="G39" s="129">
        <f t="shared" si="4"/>
        <v>0</v>
      </c>
      <c r="H39" s="129">
        <f t="shared" si="7"/>
        <v>0</v>
      </c>
      <c r="I39" s="12">
        <f t="shared" si="5"/>
        <v>0</v>
      </c>
      <c r="J39" s="129">
        <f>(I39)*('A&amp;D Financing'!$C$9)</f>
        <v>0</v>
      </c>
      <c r="K39" s="129">
        <f t="shared" si="6"/>
        <v>0</v>
      </c>
      <c r="L39" s="129">
        <f>'A&amp;D Op Exp'!$D$15*(1-E39)*(1+'A&amp;D Op Exp'!$E$9)^(B14-1)</f>
        <v>0</v>
      </c>
      <c r="M39" s="129">
        <v>0</v>
      </c>
      <c r="N39" s="130"/>
    </row>
    <row r="40" spans="2:14" ht="15">
      <c r="B40" s="127">
        <v>12</v>
      </c>
      <c r="C40" s="129">
        <f>'A&amp;D Financing'!N27</f>
        <v>0</v>
      </c>
      <c r="D40" s="129">
        <f>'A&amp;D Financing'!O27</f>
        <v>0</v>
      </c>
      <c r="E40" s="31">
        <f>('Lot Sales'!G24*Dashboard!$G$4+'Lot Sales'!H24*Dashboard!$G$5)/'A&amp;D Costs'!$E$12+E39</f>
        <v>1</v>
      </c>
      <c r="F40" s="129">
        <f>'Lot Sales'!G24*Dashboard!$G$4*'Lot Sales'!$D$5+'Lot Sales'!H24*Dashboard!$G$5*'Lot Sales'!$D$6</f>
        <v>0</v>
      </c>
      <c r="G40" s="129">
        <f t="shared" si="4"/>
        <v>0</v>
      </c>
      <c r="H40" s="129">
        <f t="shared" si="7"/>
        <v>0</v>
      </c>
      <c r="I40" s="12">
        <f t="shared" si="5"/>
        <v>0</v>
      </c>
      <c r="J40" s="129">
        <f>(I40)*('A&amp;D Financing'!$C$9)</f>
        <v>0</v>
      </c>
      <c r="K40" s="129">
        <f t="shared" si="6"/>
        <v>0</v>
      </c>
      <c r="L40" s="129">
        <f>'A&amp;D Op Exp'!$D$15*(1-E40)*(1+'A&amp;D Op Exp'!$E$9)^(B15-1)</f>
        <v>0</v>
      </c>
      <c r="M40" s="129">
        <v>0</v>
      </c>
      <c r="N40" s="130"/>
    </row>
    <row r="41" spans="2:14" ht="15">
      <c r="B41" s="127">
        <v>13</v>
      </c>
      <c r="C41" s="129">
        <f>'A&amp;D Financing'!N28</f>
        <v>0</v>
      </c>
      <c r="D41" s="129">
        <f>'A&amp;D Financing'!O28</f>
        <v>0</v>
      </c>
      <c r="E41" s="31">
        <f>('Lot Sales'!G25*Dashboard!$G$4+'Lot Sales'!H25*Dashboard!$G$5)/'A&amp;D Costs'!$E$12+E40</f>
        <v>1</v>
      </c>
      <c r="F41" s="129">
        <f>'Lot Sales'!G25*Dashboard!$G$4*'Lot Sales'!$D$5+'Lot Sales'!H25*Dashboard!$G$5*'Lot Sales'!$D$6</f>
        <v>0</v>
      </c>
      <c r="G41" s="129">
        <f t="shared" si="4"/>
        <v>0</v>
      </c>
      <c r="H41" s="129">
        <f t="shared" si="7"/>
        <v>0</v>
      </c>
      <c r="I41" s="12">
        <f t="shared" si="5"/>
        <v>0</v>
      </c>
      <c r="J41" s="129">
        <f>(I41)*('A&amp;D Financing'!$C$9)</f>
        <v>0</v>
      </c>
      <c r="K41" s="129">
        <f t="shared" si="6"/>
        <v>0</v>
      </c>
      <c r="L41" s="129">
        <f>'A&amp;D Op Exp'!$D$15*(1-E41)*(1+'A&amp;D Op Exp'!$E$9)^(B16-1)</f>
        <v>0</v>
      </c>
      <c r="M41" s="129">
        <v>0</v>
      </c>
      <c r="N41" s="130"/>
    </row>
    <row r="42" spans="2:14" ht="15">
      <c r="B42" s="127">
        <v>14</v>
      </c>
      <c r="C42" s="129">
        <f>'A&amp;D Financing'!N29</f>
        <v>0</v>
      </c>
      <c r="D42" s="129">
        <f>'A&amp;D Financing'!O29</f>
        <v>0</v>
      </c>
      <c r="E42" s="31">
        <f>('Lot Sales'!G26*Dashboard!$G$4+'Lot Sales'!H26*Dashboard!$G$5)/'A&amp;D Costs'!$E$12+E41</f>
        <v>1</v>
      </c>
      <c r="F42" s="129">
        <f>'Lot Sales'!G26*Dashboard!$G$4*'Lot Sales'!$D$5+'Lot Sales'!H26*Dashboard!$G$5*'Lot Sales'!$D$6</f>
        <v>0</v>
      </c>
      <c r="G42" s="129">
        <f t="shared" si="4"/>
        <v>0</v>
      </c>
      <c r="H42" s="129">
        <f t="shared" si="7"/>
        <v>0</v>
      </c>
      <c r="I42" s="12">
        <f t="shared" si="5"/>
        <v>0</v>
      </c>
      <c r="J42" s="129">
        <f>(I42)*('A&amp;D Financing'!$C$9)</f>
        <v>0</v>
      </c>
      <c r="K42" s="129">
        <f t="shared" si="6"/>
        <v>0</v>
      </c>
      <c r="L42" s="129">
        <f>'A&amp;D Op Exp'!$D$15*(1-E42)*(1+'A&amp;D Op Exp'!$E$9)^(B17-1)</f>
        <v>0</v>
      </c>
      <c r="M42" s="129">
        <v>0</v>
      </c>
      <c r="N42" s="130"/>
    </row>
    <row r="43" spans="2:14" ht="15">
      <c r="B43" s="127">
        <v>15</v>
      </c>
      <c r="C43" s="129">
        <f>'A&amp;D Financing'!N30</f>
        <v>0</v>
      </c>
      <c r="D43" s="129">
        <f>'A&amp;D Financing'!O30</f>
        <v>0</v>
      </c>
      <c r="E43" s="31">
        <f>('Lot Sales'!G27*Dashboard!$G$4+'Lot Sales'!H27*Dashboard!$G$5)/'A&amp;D Costs'!$E$12+E42</f>
        <v>1</v>
      </c>
      <c r="F43" s="129">
        <f>'Lot Sales'!G27*Dashboard!$G$4*'Lot Sales'!$D$5+'Lot Sales'!H27*Dashboard!$G$5*'Lot Sales'!$D$6</f>
        <v>0</v>
      </c>
      <c r="G43" s="129">
        <f t="shared" si="4"/>
        <v>0</v>
      </c>
      <c r="H43" s="129">
        <f t="shared" si="7"/>
        <v>0</v>
      </c>
      <c r="I43" s="12">
        <f t="shared" si="5"/>
        <v>0</v>
      </c>
      <c r="J43" s="129">
        <f>(I43)*('A&amp;D Financing'!$C$9)</f>
        <v>0</v>
      </c>
      <c r="K43" s="129">
        <f t="shared" si="6"/>
        <v>0</v>
      </c>
      <c r="L43" s="129">
        <f>'A&amp;D Op Exp'!$D$15*(1-E43)*(1+'A&amp;D Op Exp'!$E$9)^(B18-1)</f>
        <v>0</v>
      </c>
      <c r="M43" s="129">
        <v>0</v>
      </c>
      <c r="N43" s="130"/>
    </row>
    <row r="44" spans="2:14" ht="15">
      <c r="B44" s="127">
        <v>16</v>
      </c>
      <c r="C44" s="129">
        <f>'A&amp;D Financing'!N31</f>
        <v>0</v>
      </c>
      <c r="D44" s="129">
        <f>'A&amp;D Financing'!O31</f>
        <v>0</v>
      </c>
      <c r="E44" s="31">
        <f>('Lot Sales'!G28*Dashboard!$G$4+'Lot Sales'!H28*Dashboard!$G$5)/'A&amp;D Costs'!$E$12+E43</f>
        <v>1</v>
      </c>
      <c r="F44" s="129">
        <f>'Lot Sales'!G28*Dashboard!$G$4*'Lot Sales'!$D$5+'Lot Sales'!H28*Dashboard!$G$5*'Lot Sales'!$D$6</f>
        <v>0</v>
      </c>
      <c r="G44" s="129">
        <f t="shared" si="4"/>
        <v>0</v>
      </c>
      <c r="H44" s="129">
        <f t="shared" si="7"/>
        <v>0</v>
      </c>
      <c r="I44" s="12">
        <f t="shared" si="5"/>
        <v>0</v>
      </c>
      <c r="J44" s="129">
        <f>(I44)*('A&amp;D Financing'!$C$9)</f>
        <v>0</v>
      </c>
      <c r="K44" s="129">
        <f t="shared" si="6"/>
        <v>0</v>
      </c>
      <c r="L44" s="129">
        <f>'A&amp;D Op Exp'!$D$15*(1-E44)*(1+'A&amp;D Op Exp'!$E$9)^(B19-1)</f>
        <v>0</v>
      </c>
      <c r="M44" s="129">
        <v>0</v>
      </c>
      <c r="N44" s="130"/>
    </row>
    <row r="45" spans="2:14" ht="15">
      <c r="B45" s="127">
        <v>17</v>
      </c>
      <c r="C45" s="129">
        <f>'A&amp;D Financing'!N32</f>
        <v>0</v>
      </c>
      <c r="D45" s="129">
        <f>'A&amp;D Financing'!O32</f>
        <v>0</v>
      </c>
      <c r="E45" s="31">
        <f>('Lot Sales'!G29*Dashboard!$G$4+'Lot Sales'!H29*Dashboard!$G$5)/'A&amp;D Costs'!$E$12+E44</f>
        <v>1</v>
      </c>
      <c r="F45" s="129">
        <f>'Lot Sales'!G29*Dashboard!$G$4*'Lot Sales'!$D$5+'Lot Sales'!H29*Dashboard!$G$5*'Lot Sales'!$D$6</f>
        <v>0</v>
      </c>
      <c r="G45" s="129">
        <f t="shared" si="4"/>
        <v>0</v>
      </c>
      <c r="H45" s="129">
        <f t="shared" si="7"/>
        <v>0</v>
      </c>
      <c r="I45" s="12">
        <f t="shared" si="5"/>
        <v>0</v>
      </c>
      <c r="J45" s="129">
        <f>(I45)*('A&amp;D Financing'!$C$9)</f>
        <v>0</v>
      </c>
      <c r="K45" s="129">
        <f t="shared" si="6"/>
        <v>0</v>
      </c>
      <c r="L45" s="129">
        <f>'A&amp;D Op Exp'!$D$15*(1-E45)*(1+'A&amp;D Op Exp'!$E$9)^(B20-1)</f>
        <v>0</v>
      </c>
      <c r="M45" s="129">
        <v>0</v>
      </c>
      <c r="N45" s="130"/>
    </row>
    <row r="46" spans="2:14" ht="15">
      <c r="B46" s="127">
        <v>18</v>
      </c>
      <c r="C46" s="129">
        <f>'A&amp;D Financing'!N33</f>
        <v>0</v>
      </c>
      <c r="D46" s="129">
        <f>'A&amp;D Financing'!O33</f>
        <v>0</v>
      </c>
      <c r="E46" s="31">
        <f>('Lot Sales'!G30*Dashboard!$G$4+'Lot Sales'!H30*Dashboard!$G$5)/'A&amp;D Costs'!$E$12+E45</f>
        <v>1</v>
      </c>
      <c r="F46" s="129">
        <f>'Lot Sales'!G30*Dashboard!$G$4*'Lot Sales'!$D$5+'Lot Sales'!H30*Dashboard!$G$5*'Lot Sales'!$D$6</f>
        <v>0</v>
      </c>
      <c r="G46" s="129">
        <f t="shared" si="4"/>
        <v>0</v>
      </c>
      <c r="H46" s="129">
        <f t="shared" si="7"/>
        <v>0</v>
      </c>
      <c r="I46" s="12">
        <f t="shared" si="5"/>
        <v>0</v>
      </c>
      <c r="J46" s="129">
        <f>(I46)*('A&amp;D Financing'!$C$9)</f>
        <v>0</v>
      </c>
      <c r="K46" s="129">
        <f t="shared" si="6"/>
        <v>0</v>
      </c>
      <c r="L46" s="129">
        <f>'A&amp;D Op Exp'!$D$15*(1-E46)*(1+'A&amp;D Op Exp'!$E$9)^(B21-1)</f>
        <v>0</v>
      </c>
      <c r="M46" s="129">
        <v>0</v>
      </c>
      <c r="N46" s="130"/>
    </row>
    <row r="47" spans="2:14" ht="15">
      <c r="B47" s="127">
        <v>19</v>
      </c>
      <c r="C47" s="129">
        <f>'A&amp;D Financing'!N34</f>
        <v>0</v>
      </c>
      <c r="D47" s="129">
        <f>'A&amp;D Financing'!O34</f>
        <v>0</v>
      </c>
      <c r="E47" s="31">
        <f>('Lot Sales'!G31*Dashboard!$G$4+'Lot Sales'!H31*Dashboard!$G$5)/'A&amp;D Costs'!$E$12+E46</f>
        <v>1</v>
      </c>
      <c r="F47" s="129">
        <f>'Lot Sales'!G31*Dashboard!$G$4*'Lot Sales'!$D$5+'Lot Sales'!H31*Dashboard!$G$5*'Lot Sales'!$D$6</f>
        <v>0</v>
      </c>
      <c r="G47" s="129">
        <f t="shared" si="4"/>
        <v>0</v>
      </c>
      <c r="H47" s="129">
        <f t="shared" si="7"/>
        <v>0</v>
      </c>
      <c r="I47" s="12">
        <f t="shared" si="5"/>
        <v>0</v>
      </c>
      <c r="J47" s="129">
        <f>(I47)*('A&amp;D Financing'!$C$9)</f>
        <v>0</v>
      </c>
      <c r="K47" s="129">
        <f t="shared" si="6"/>
        <v>0</v>
      </c>
      <c r="L47" s="129">
        <f>'A&amp;D Op Exp'!$D$15*(1-E47)*(1+'A&amp;D Op Exp'!$E$9)^(B22-1)</f>
        <v>0</v>
      </c>
      <c r="M47" s="129">
        <v>0</v>
      </c>
      <c r="N47" s="130"/>
    </row>
    <row r="48" spans="2:14" ht="15">
      <c r="B48" s="127">
        <v>20</v>
      </c>
      <c r="C48" s="129">
        <f>'A&amp;D Financing'!N35</f>
        <v>0</v>
      </c>
      <c r="D48" s="129">
        <f>'A&amp;D Financing'!O35</f>
        <v>0</v>
      </c>
      <c r="E48" s="31">
        <f>('Lot Sales'!G32*Dashboard!$G$4+'Lot Sales'!H32*Dashboard!$G$5)/'A&amp;D Costs'!$E$12+E47</f>
        <v>1</v>
      </c>
      <c r="F48" s="129">
        <f>'Lot Sales'!G32*Dashboard!$G$4*'Lot Sales'!$D$5+'Lot Sales'!H32*Dashboard!$G$5*'Lot Sales'!$D$6</f>
        <v>0</v>
      </c>
      <c r="G48" s="129">
        <f t="shared" si="4"/>
        <v>0</v>
      </c>
      <c r="H48" s="129">
        <f t="shared" si="7"/>
        <v>0</v>
      </c>
      <c r="I48" s="12">
        <f t="shared" si="5"/>
        <v>0</v>
      </c>
      <c r="J48" s="129">
        <f>(I48)*('A&amp;D Financing'!$C$9)</f>
        <v>0</v>
      </c>
      <c r="K48" s="129">
        <f t="shared" si="6"/>
        <v>0</v>
      </c>
      <c r="L48" s="129">
        <f>'A&amp;D Op Exp'!$D$15*(1-E48)*(1+'A&amp;D Op Exp'!$E$9)^(B23-1)</f>
        <v>0</v>
      </c>
      <c r="M48" s="129">
        <v>0</v>
      </c>
      <c r="N48" s="130"/>
    </row>
    <row r="49" spans="2:14" ht="15.75" thickBot="1">
      <c r="B49" s="131"/>
      <c r="C49" s="132"/>
      <c r="D49" s="132"/>
      <c r="E49" s="64"/>
      <c r="F49" s="132"/>
      <c r="G49" s="132"/>
      <c r="H49" s="132"/>
      <c r="I49" s="13"/>
      <c r="J49" s="132"/>
      <c r="K49" s="132"/>
      <c r="L49" s="132"/>
      <c r="M49" s="132"/>
      <c r="N49" s="133"/>
    </row>
    <row r="50" ht="15.75" customHeight="1"/>
    <row r="51" ht="15.75" thickBot="1"/>
    <row r="52" spans="2:14" ht="15.75" thickBot="1">
      <c r="B52" s="61" t="s">
        <v>75</v>
      </c>
      <c r="C52" s="60" t="s">
        <v>178</v>
      </c>
      <c r="D52" s="60"/>
      <c r="E52" s="46"/>
      <c r="F52" s="46"/>
      <c r="G52" s="46"/>
      <c r="H52" s="46"/>
      <c r="I52" s="46"/>
      <c r="J52" s="46"/>
      <c r="K52" s="46"/>
      <c r="L52" s="46"/>
      <c r="M52" s="46"/>
      <c r="N52" s="47"/>
    </row>
    <row r="53" spans="2:14" ht="30">
      <c r="B53" s="134" t="s">
        <v>12</v>
      </c>
      <c r="C53" s="484" t="s">
        <v>104</v>
      </c>
      <c r="D53" s="484" t="s">
        <v>106</v>
      </c>
      <c r="E53" s="484" t="s">
        <v>176</v>
      </c>
      <c r="F53" s="484" t="s">
        <v>36</v>
      </c>
      <c r="G53" s="484" t="s">
        <v>174</v>
      </c>
      <c r="H53" s="484" t="s">
        <v>274</v>
      </c>
      <c r="I53" s="484" t="s">
        <v>273</v>
      </c>
      <c r="J53" s="484" t="s">
        <v>275</v>
      </c>
      <c r="K53" s="484" t="s">
        <v>276</v>
      </c>
      <c r="L53" s="484" t="s">
        <v>50</v>
      </c>
      <c r="M53" s="484" t="s">
        <v>102</v>
      </c>
      <c r="N53" s="138"/>
    </row>
    <row r="54" spans="2:14" ht="15">
      <c r="B54" s="127">
        <v>1</v>
      </c>
      <c r="C54" s="129">
        <f>'A&amp;D Financing'!L16</f>
        <v>936000</v>
      </c>
      <c r="D54" s="129">
        <f>'A&amp;D Financing'!M16</f>
        <v>224250</v>
      </c>
      <c r="E54" s="31">
        <f>'Lot Sales'!C13</f>
        <v>0</v>
      </c>
      <c r="F54" s="129">
        <f>'Lot Sales'!C13*Dashboard!$F$6*'Lot Sales'!$C$5</f>
        <v>0</v>
      </c>
      <c r="G54" s="129">
        <v>0</v>
      </c>
      <c r="H54" s="129">
        <f>MIN(F54,C54)</f>
        <v>0</v>
      </c>
      <c r="I54" s="12">
        <f>MAX(C54,0)</f>
        <v>936000</v>
      </c>
      <c r="J54" s="129">
        <f>(I54)*('A&amp;D Financing'!$C$9)</f>
        <v>60840</v>
      </c>
      <c r="K54" s="129">
        <f>J54-G54</f>
        <v>60840</v>
      </c>
      <c r="L54" s="129">
        <f>'A&amp;D Op Exp'!$C$15*(1-E54)</f>
        <v>90000</v>
      </c>
      <c r="M54" s="129">
        <f>'A&amp;D Financing'!C11*'A&amp;D Financing'!D44</f>
        <v>14400</v>
      </c>
      <c r="N54" s="130"/>
    </row>
    <row r="55" spans="2:14" ht="15">
      <c r="B55" s="127">
        <v>2</v>
      </c>
      <c r="C55" s="129">
        <f>'A&amp;D Financing'!L17</f>
        <v>504000</v>
      </c>
      <c r="D55" s="129">
        <f>'A&amp;D Financing'!M17</f>
        <v>120750</v>
      </c>
      <c r="E55" s="31">
        <f>'Lot Sales'!C14+E54</f>
        <v>0.05</v>
      </c>
      <c r="F55" s="129">
        <f>'Lot Sales'!C14*Dashboard!$F$6*'Lot Sales'!$C$5</f>
        <v>150679.33239948776</v>
      </c>
      <c r="G55" s="129">
        <f aca="true" t="shared" si="8" ref="G55:G73">MIN(K54,F55)</f>
        <v>60840</v>
      </c>
      <c r="H55" s="129">
        <f>MIN(F55-G55,I54)</f>
        <v>89839.33239948776</v>
      </c>
      <c r="I55" s="12">
        <f aca="true" t="shared" si="9" ref="I55:I73">MAX(I54+C55-H55,0)</f>
        <v>1350160.6676005123</v>
      </c>
      <c r="J55" s="129">
        <f>(I55)*('A&amp;D Financing'!$C$9)</f>
        <v>87760.4433940333</v>
      </c>
      <c r="K55" s="129">
        <f aca="true" t="shared" si="10" ref="K55:K73">K54+J55-G55</f>
        <v>87760.4433940333</v>
      </c>
      <c r="L55" s="129">
        <f>'A&amp;D Op Exp'!$C$15*(1-E55)*(1+'A&amp;D Op Exp'!$C$9)^(B55-1)</f>
        <v>85500</v>
      </c>
      <c r="M55" s="129">
        <v>0</v>
      </c>
      <c r="N55" s="130"/>
    </row>
    <row r="56" spans="2:14" ht="15">
      <c r="B56" s="127">
        <v>3</v>
      </c>
      <c r="C56" s="129">
        <f>'A&amp;D Financing'!L18</f>
        <v>0</v>
      </c>
      <c r="D56" s="129">
        <f>'A&amp;D Financing'!M18</f>
        <v>0</v>
      </c>
      <c r="E56" s="31">
        <f>'Lot Sales'!C15+E55</f>
        <v>0.25</v>
      </c>
      <c r="F56" s="129">
        <f>'Lot Sales'!C15*Dashboard!$F$6*'Lot Sales'!$C$5</f>
        <v>602717.329597951</v>
      </c>
      <c r="G56" s="129">
        <f t="shared" si="8"/>
        <v>87760.4433940333</v>
      </c>
      <c r="H56" s="129">
        <f aca="true" t="shared" si="11" ref="H56:H73">MIN(F56-G56,I55)</f>
        <v>514956.88620391773</v>
      </c>
      <c r="I56" s="12">
        <f t="shared" si="9"/>
        <v>835203.7813965946</v>
      </c>
      <c r="J56" s="129">
        <f>(I56)*('A&amp;D Financing'!$C$9)</f>
        <v>54288.24579077865</v>
      </c>
      <c r="K56" s="129">
        <f t="shared" si="10"/>
        <v>54288.24579077866</v>
      </c>
      <c r="L56" s="129">
        <f>'A&amp;D Op Exp'!$C$15*(1-E56)*(1+'A&amp;D Op Exp'!$C$9)^(B56-1)</f>
        <v>67500</v>
      </c>
      <c r="M56" s="129">
        <v>0</v>
      </c>
      <c r="N56" s="130"/>
    </row>
    <row r="57" spans="2:14" ht="15">
      <c r="B57" s="127">
        <v>4</v>
      </c>
      <c r="C57" s="129">
        <f>'A&amp;D Financing'!L19</f>
        <v>0</v>
      </c>
      <c r="D57" s="129">
        <f>'A&amp;D Financing'!M19</f>
        <v>0</v>
      </c>
      <c r="E57" s="31">
        <f>'Lot Sales'!C16+E56</f>
        <v>0.5</v>
      </c>
      <c r="F57" s="129">
        <f>'Lot Sales'!C16*Dashboard!$F$6*'Lot Sales'!$C$5</f>
        <v>753396.6619974388</v>
      </c>
      <c r="G57" s="129">
        <f t="shared" si="8"/>
        <v>54288.24579077866</v>
      </c>
      <c r="H57" s="129">
        <f t="shared" si="11"/>
        <v>699108.4162066601</v>
      </c>
      <c r="I57" s="12">
        <f t="shared" si="9"/>
        <v>136095.3651899345</v>
      </c>
      <c r="J57" s="129">
        <f>(I57)*('A&amp;D Financing'!$C$9)</f>
        <v>8846.198737345743</v>
      </c>
      <c r="K57" s="129">
        <f t="shared" si="10"/>
        <v>8846.198737345745</v>
      </c>
      <c r="L57" s="129">
        <f>'A&amp;D Op Exp'!$C$15*(1-E57)*(1+'A&amp;D Op Exp'!$C$9)^(B57-1)</f>
        <v>45000</v>
      </c>
      <c r="M57" s="129">
        <v>0</v>
      </c>
      <c r="N57" s="130"/>
    </row>
    <row r="58" spans="2:14" ht="15">
      <c r="B58" s="127">
        <v>5</v>
      </c>
      <c r="C58" s="129">
        <f>'A&amp;D Financing'!L20</f>
        <v>0</v>
      </c>
      <c r="D58" s="129">
        <f>'A&amp;D Financing'!M20</f>
        <v>0</v>
      </c>
      <c r="E58" s="31">
        <f>'Lot Sales'!C17+E57</f>
        <v>0.75</v>
      </c>
      <c r="F58" s="129">
        <f>'Lot Sales'!C17*Dashboard!$F$6*'Lot Sales'!$C$5</f>
        <v>753396.6619974388</v>
      </c>
      <c r="G58" s="129">
        <f t="shared" si="8"/>
        <v>8846.198737345745</v>
      </c>
      <c r="H58" s="129">
        <f t="shared" si="11"/>
        <v>136095.3651899345</v>
      </c>
      <c r="I58" s="12">
        <f t="shared" si="9"/>
        <v>0</v>
      </c>
      <c r="J58" s="129">
        <f>(I58)*('A&amp;D Financing'!$C$9)</f>
        <v>0</v>
      </c>
      <c r="K58" s="129">
        <f t="shared" si="10"/>
        <v>0</v>
      </c>
      <c r="L58" s="129">
        <f>'A&amp;D Op Exp'!$C$15*(1-E58)*(1+'A&amp;D Op Exp'!$C$9)^(B58-1)</f>
        <v>22500</v>
      </c>
      <c r="M58" s="129">
        <v>0</v>
      </c>
      <c r="N58" s="130"/>
    </row>
    <row r="59" spans="2:14" ht="15">
      <c r="B59" s="127">
        <v>6</v>
      </c>
      <c r="C59" s="129">
        <f>'A&amp;D Financing'!L21</f>
        <v>0</v>
      </c>
      <c r="D59" s="129">
        <f>'A&amp;D Financing'!M21</f>
        <v>0</v>
      </c>
      <c r="E59" s="31">
        <f>'Lot Sales'!C18+E58</f>
        <v>0.95</v>
      </c>
      <c r="F59" s="129">
        <f>'Lot Sales'!C18*Dashboard!$F$6*'Lot Sales'!$C$5</f>
        <v>602717.329597951</v>
      </c>
      <c r="G59" s="129">
        <f t="shared" si="8"/>
        <v>0</v>
      </c>
      <c r="H59" s="129">
        <f t="shared" si="11"/>
        <v>0</v>
      </c>
      <c r="I59" s="12">
        <f t="shared" si="9"/>
        <v>0</v>
      </c>
      <c r="J59" s="129">
        <f>(I59)*('A&amp;D Financing'!$C$9)</f>
        <v>0</v>
      </c>
      <c r="K59" s="129">
        <f t="shared" si="10"/>
        <v>0</v>
      </c>
      <c r="L59" s="129">
        <f>'A&amp;D Op Exp'!$C$15*(1-E59)*(1+'A&amp;D Op Exp'!$C$9)^(B59-1)</f>
        <v>4500.000000000004</v>
      </c>
      <c r="M59" s="129">
        <v>0</v>
      </c>
      <c r="N59" s="130"/>
    </row>
    <row r="60" spans="2:14" ht="15">
      <c r="B60" s="127">
        <v>7</v>
      </c>
      <c r="C60" s="129">
        <f>'A&amp;D Financing'!L22</f>
        <v>0</v>
      </c>
      <c r="D60" s="129">
        <f>'A&amp;D Financing'!M22</f>
        <v>0</v>
      </c>
      <c r="E60" s="31">
        <f>'Lot Sales'!C19+E59</f>
        <v>1</v>
      </c>
      <c r="F60" s="129">
        <f>'Lot Sales'!C19*Dashboard!$F$6*'Lot Sales'!$C$5</f>
        <v>150679.33239948776</v>
      </c>
      <c r="G60" s="129">
        <f t="shared" si="8"/>
        <v>0</v>
      </c>
      <c r="H60" s="129">
        <f t="shared" si="11"/>
        <v>0</v>
      </c>
      <c r="I60" s="12">
        <f t="shared" si="9"/>
        <v>0</v>
      </c>
      <c r="J60" s="129">
        <f>(I60)*('A&amp;D Financing'!$C$9)</f>
        <v>0</v>
      </c>
      <c r="K60" s="129">
        <f t="shared" si="10"/>
        <v>0</v>
      </c>
      <c r="L60" s="129">
        <f>'A&amp;D Op Exp'!$C$15*(1-E60)*(1+'A&amp;D Op Exp'!$C$9)^(B60-1)</f>
        <v>0</v>
      </c>
      <c r="M60" s="129">
        <v>0</v>
      </c>
      <c r="N60" s="130"/>
    </row>
    <row r="61" spans="2:14" ht="15">
      <c r="B61" s="127">
        <v>8</v>
      </c>
      <c r="C61" s="129">
        <f>'A&amp;D Financing'!L23</f>
        <v>0</v>
      </c>
      <c r="D61" s="129">
        <f>'A&amp;D Financing'!M23</f>
        <v>0</v>
      </c>
      <c r="E61" s="31">
        <f>'Lot Sales'!C20+E60</f>
        <v>1</v>
      </c>
      <c r="F61" s="129">
        <f>'Lot Sales'!C20*Dashboard!$F$6*'Lot Sales'!$C$5</f>
        <v>0</v>
      </c>
      <c r="G61" s="129">
        <f t="shared" si="8"/>
        <v>0</v>
      </c>
      <c r="H61" s="129">
        <f t="shared" si="11"/>
        <v>0</v>
      </c>
      <c r="I61" s="12">
        <f t="shared" si="9"/>
        <v>0</v>
      </c>
      <c r="J61" s="129">
        <f>(I61)*('A&amp;D Financing'!$C$9)</f>
        <v>0</v>
      </c>
      <c r="K61" s="129">
        <f t="shared" si="10"/>
        <v>0</v>
      </c>
      <c r="L61" s="129">
        <f>'A&amp;D Op Exp'!$C$15*(1-E61)*(1+'A&amp;D Op Exp'!$C$9)^(B61-1)</f>
        <v>0</v>
      </c>
      <c r="M61" s="129">
        <v>0</v>
      </c>
      <c r="N61" s="130"/>
    </row>
    <row r="62" spans="2:14" ht="15">
      <c r="B62" s="127">
        <v>9</v>
      </c>
      <c r="C62" s="129">
        <f>'A&amp;D Financing'!L24</f>
        <v>0</v>
      </c>
      <c r="D62" s="129">
        <f>'A&amp;D Financing'!M24</f>
        <v>0</v>
      </c>
      <c r="E62" s="31">
        <f>'Lot Sales'!C21+E61</f>
        <v>1</v>
      </c>
      <c r="F62" s="129">
        <f>'Lot Sales'!C21*Dashboard!$F$6*'Lot Sales'!$C$5</f>
        <v>0</v>
      </c>
      <c r="G62" s="129">
        <f t="shared" si="8"/>
        <v>0</v>
      </c>
      <c r="H62" s="129">
        <f t="shared" si="11"/>
        <v>0</v>
      </c>
      <c r="I62" s="12">
        <f t="shared" si="9"/>
        <v>0</v>
      </c>
      <c r="J62" s="129">
        <f>(I62)*('A&amp;D Financing'!$C$9)</f>
        <v>0</v>
      </c>
      <c r="K62" s="129">
        <f t="shared" si="10"/>
        <v>0</v>
      </c>
      <c r="L62" s="129">
        <f>'A&amp;D Op Exp'!$C$15*(1-E62)*(1+'A&amp;D Op Exp'!$C$9)^(B62-1)</f>
        <v>0</v>
      </c>
      <c r="M62" s="129">
        <v>0</v>
      </c>
      <c r="N62" s="130"/>
    </row>
    <row r="63" spans="2:14" ht="15">
      <c r="B63" s="127">
        <v>10</v>
      </c>
      <c r="C63" s="129">
        <f>'A&amp;D Financing'!L25</f>
        <v>0</v>
      </c>
      <c r="D63" s="129">
        <f>'A&amp;D Financing'!M25</f>
        <v>0</v>
      </c>
      <c r="E63" s="31">
        <f>'Lot Sales'!C22+E62</f>
        <v>1</v>
      </c>
      <c r="F63" s="129">
        <f>'Lot Sales'!C22*Dashboard!$F$6*'Lot Sales'!$C$5</f>
        <v>0</v>
      </c>
      <c r="G63" s="129">
        <f t="shared" si="8"/>
        <v>0</v>
      </c>
      <c r="H63" s="129">
        <f t="shared" si="11"/>
        <v>0</v>
      </c>
      <c r="I63" s="12">
        <f t="shared" si="9"/>
        <v>0</v>
      </c>
      <c r="J63" s="129">
        <f>(I63)*('A&amp;D Financing'!$C$9)</f>
        <v>0</v>
      </c>
      <c r="K63" s="129">
        <f t="shared" si="10"/>
        <v>0</v>
      </c>
      <c r="L63" s="129">
        <f>'A&amp;D Op Exp'!$C$15*(1-E63)*(1+'A&amp;D Op Exp'!$C$9)^(B63-1)</f>
        <v>0</v>
      </c>
      <c r="M63" s="129">
        <v>0</v>
      </c>
      <c r="N63" s="130"/>
    </row>
    <row r="64" spans="2:14" ht="15">
      <c r="B64" s="127">
        <v>11</v>
      </c>
      <c r="C64" s="129">
        <f>'A&amp;D Financing'!L26</f>
        <v>0</v>
      </c>
      <c r="D64" s="129">
        <f>'A&amp;D Financing'!M26</f>
        <v>0</v>
      </c>
      <c r="E64" s="31">
        <f>'Lot Sales'!C23+E63</f>
        <v>1</v>
      </c>
      <c r="F64" s="129">
        <f>'Lot Sales'!C23*Dashboard!$F$6*'Lot Sales'!$C$5</f>
        <v>0</v>
      </c>
      <c r="G64" s="129">
        <f t="shared" si="8"/>
        <v>0</v>
      </c>
      <c r="H64" s="129">
        <f t="shared" si="11"/>
        <v>0</v>
      </c>
      <c r="I64" s="12">
        <f t="shared" si="9"/>
        <v>0</v>
      </c>
      <c r="J64" s="129">
        <f>(I64)*('A&amp;D Financing'!$C$9)</f>
        <v>0</v>
      </c>
      <c r="K64" s="129">
        <f t="shared" si="10"/>
        <v>0</v>
      </c>
      <c r="L64" s="129">
        <f>'A&amp;D Op Exp'!$C$15*(1-E64)*(1+'A&amp;D Op Exp'!$C$9)^(B64-1)</f>
        <v>0</v>
      </c>
      <c r="M64" s="129">
        <v>0</v>
      </c>
      <c r="N64" s="130"/>
    </row>
    <row r="65" spans="2:14" ht="15">
      <c r="B65" s="127">
        <v>12</v>
      </c>
      <c r="C65" s="129">
        <f>'A&amp;D Financing'!L27</f>
        <v>0</v>
      </c>
      <c r="D65" s="129">
        <f>'A&amp;D Financing'!M27</f>
        <v>0</v>
      </c>
      <c r="E65" s="31">
        <f>'Lot Sales'!C24+E64</f>
        <v>1</v>
      </c>
      <c r="F65" s="129">
        <f>'Lot Sales'!C24*Dashboard!$F$6*'Lot Sales'!$C$5</f>
        <v>0</v>
      </c>
      <c r="G65" s="129">
        <f t="shared" si="8"/>
        <v>0</v>
      </c>
      <c r="H65" s="129">
        <f t="shared" si="11"/>
        <v>0</v>
      </c>
      <c r="I65" s="12">
        <f t="shared" si="9"/>
        <v>0</v>
      </c>
      <c r="J65" s="129">
        <f>(I65)*('A&amp;D Financing'!$C$9)</f>
        <v>0</v>
      </c>
      <c r="K65" s="129">
        <f t="shared" si="10"/>
        <v>0</v>
      </c>
      <c r="L65" s="129">
        <f>'A&amp;D Op Exp'!$C$15*(1-E65)*(1+'A&amp;D Op Exp'!$C$9)^(B65-1)</f>
        <v>0</v>
      </c>
      <c r="M65" s="129">
        <v>0</v>
      </c>
      <c r="N65" s="130"/>
    </row>
    <row r="66" spans="2:14" ht="15">
      <c r="B66" s="127">
        <v>13</v>
      </c>
      <c r="C66" s="129">
        <f>'A&amp;D Financing'!L28</f>
        <v>0</v>
      </c>
      <c r="D66" s="129">
        <f>'A&amp;D Financing'!M28</f>
        <v>0</v>
      </c>
      <c r="E66" s="31">
        <f>'Lot Sales'!C25+E65</f>
        <v>1</v>
      </c>
      <c r="F66" s="129">
        <f>'Lot Sales'!C25*Dashboard!$F$6*'Lot Sales'!$C$5</f>
        <v>0</v>
      </c>
      <c r="G66" s="129">
        <f t="shared" si="8"/>
        <v>0</v>
      </c>
      <c r="H66" s="129">
        <f t="shared" si="11"/>
        <v>0</v>
      </c>
      <c r="I66" s="12">
        <f t="shared" si="9"/>
        <v>0</v>
      </c>
      <c r="J66" s="129">
        <f>(I66)*('A&amp;D Financing'!$C$9)</f>
        <v>0</v>
      </c>
      <c r="K66" s="129">
        <f t="shared" si="10"/>
        <v>0</v>
      </c>
      <c r="L66" s="129">
        <f>'A&amp;D Op Exp'!$C$15*(1-E66)*(1+'A&amp;D Op Exp'!$C$9)^(B66-1)</f>
        <v>0</v>
      </c>
      <c r="M66" s="129">
        <v>0</v>
      </c>
      <c r="N66" s="130"/>
    </row>
    <row r="67" spans="2:14" ht="15">
      <c r="B67" s="127">
        <v>14</v>
      </c>
      <c r="C67" s="129">
        <f>'A&amp;D Financing'!L29</f>
        <v>0</v>
      </c>
      <c r="D67" s="129">
        <f>'A&amp;D Financing'!M29</f>
        <v>0</v>
      </c>
      <c r="E67" s="31">
        <f>'Lot Sales'!C26+E66</f>
        <v>1</v>
      </c>
      <c r="F67" s="129">
        <f>'Lot Sales'!C26*Dashboard!$F$6*'Lot Sales'!$C$5</f>
        <v>0</v>
      </c>
      <c r="G67" s="129">
        <f t="shared" si="8"/>
        <v>0</v>
      </c>
      <c r="H67" s="129">
        <f t="shared" si="11"/>
        <v>0</v>
      </c>
      <c r="I67" s="12">
        <f t="shared" si="9"/>
        <v>0</v>
      </c>
      <c r="J67" s="129">
        <f>(I67)*('A&amp;D Financing'!$C$9)</f>
        <v>0</v>
      </c>
      <c r="K67" s="129">
        <f t="shared" si="10"/>
        <v>0</v>
      </c>
      <c r="L67" s="129">
        <f>'A&amp;D Op Exp'!$C$15*(1-E67)*(1+'A&amp;D Op Exp'!$C$9)^(B67-1)</f>
        <v>0</v>
      </c>
      <c r="M67" s="129">
        <v>0</v>
      </c>
      <c r="N67" s="130"/>
    </row>
    <row r="68" spans="2:14" ht="15">
      <c r="B68" s="127">
        <v>15</v>
      </c>
      <c r="C68" s="129">
        <f>'A&amp;D Financing'!L30</f>
        <v>0</v>
      </c>
      <c r="D68" s="129">
        <f>'A&amp;D Financing'!M30</f>
        <v>0</v>
      </c>
      <c r="E68" s="31">
        <f>'Lot Sales'!C27+E67</f>
        <v>1</v>
      </c>
      <c r="F68" s="129">
        <f>'Lot Sales'!C27*Dashboard!$F$6*'Lot Sales'!$C$5</f>
        <v>0</v>
      </c>
      <c r="G68" s="129">
        <f t="shared" si="8"/>
        <v>0</v>
      </c>
      <c r="H68" s="129">
        <f t="shared" si="11"/>
        <v>0</v>
      </c>
      <c r="I68" s="12">
        <f t="shared" si="9"/>
        <v>0</v>
      </c>
      <c r="J68" s="129">
        <f>(I68)*('A&amp;D Financing'!$C$9)</f>
        <v>0</v>
      </c>
      <c r="K68" s="129">
        <f t="shared" si="10"/>
        <v>0</v>
      </c>
      <c r="L68" s="129">
        <f>'A&amp;D Op Exp'!$C$15*(1-E68)*(1+'A&amp;D Op Exp'!$C$9)^(B68-1)</f>
        <v>0</v>
      </c>
      <c r="M68" s="129">
        <v>0</v>
      </c>
      <c r="N68" s="130"/>
    </row>
    <row r="69" spans="2:14" ht="15">
      <c r="B69" s="127">
        <v>16</v>
      </c>
      <c r="C69" s="129">
        <f>'A&amp;D Financing'!L31</f>
        <v>0</v>
      </c>
      <c r="D69" s="129">
        <f>'A&amp;D Financing'!M31</f>
        <v>0</v>
      </c>
      <c r="E69" s="31">
        <f>'Lot Sales'!C28+E68</f>
        <v>1</v>
      </c>
      <c r="F69" s="129">
        <f>'Lot Sales'!C28*Dashboard!$F$6*'Lot Sales'!$C$5</f>
        <v>0</v>
      </c>
      <c r="G69" s="129">
        <f t="shared" si="8"/>
        <v>0</v>
      </c>
      <c r="H69" s="129">
        <f t="shared" si="11"/>
        <v>0</v>
      </c>
      <c r="I69" s="12">
        <f t="shared" si="9"/>
        <v>0</v>
      </c>
      <c r="J69" s="129">
        <f>(I69)*('A&amp;D Financing'!$C$9)</f>
        <v>0</v>
      </c>
      <c r="K69" s="129">
        <f t="shared" si="10"/>
        <v>0</v>
      </c>
      <c r="L69" s="129">
        <f>'A&amp;D Op Exp'!$C$15*(1-E69)*(1+'A&amp;D Op Exp'!$C$9)^(B69-1)</f>
        <v>0</v>
      </c>
      <c r="M69" s="129">
        <v>0</v>
      </c>
      <c r="N69" s="130"/>
    </row>
    <row r="70" spans="2:14" ht="15">
      <c r="B70" s="127">
        <v>17</v>
      </c>
      <c r="C70" s="129">
        <f>'A&amp;D Financing'!L32</f>
        <v>0</v>
      </c>
      <c r="D70" s="129">
        <f>'A&amp;D Financing'!M32</f>
        <v>0</v>
      </c>
      <c r="E70" s="31">
        <f>'Lot Sales'!C29+E69</f>
        <v>1</v>
      </c>
      <c r="F70" s="129">
        <f>'Lot Sales'!C29*Dashboard!$F$6*'Lot Sales'!$C$5</f>
        <v>0</v>
      </c>
      <c r="G70" s="129">
        <f t="shared" si="8"/>
        <v>0</v>
      </c>
      <c r="H70" s="129">
        <f t="shared" si="11"/>
        <v>0</v>
      </c>
      <c r="I70" s="12">
        <f t="shared" si="9"/>
        <v>0</v>
      </c>
      <c r="J70" s="129">
        <f>(I70)*('A&amp;D Financing'!$C$9)</f>
        <v>0</v>
      </c>
      <c r="K70" s="129">
        <f t="shared" si="10"/>
        <v>0</v>
      </c>
      <c r="L70" s="129">
        <f>'A&amp;D Op Exp'!$C$15*(1-E70)*(1+'A&amp;D Op Exp'!$C$9)^(B70-1)</f>
        <v>0</v>
      </c>
      <c r="M70" s="129">
        <v>0</v>
      </c>
      <c r="N70" s="130"/>
    </row>
    <row r="71" spans="2:14" ht="15">
      <c r="B71" s="127">
        <v>18</v>
      </c>
      <c r="C71" s="129">
        <f>'A&amp;D Financing'!L33</f>
        <v>0</v>
      </c>
      <c r="D71" s="129">
        <f>'A&amp;D Financing'!M33</f>
        <v>0</v>
      </c>
      <c r="E71" s="31">
        <f>'Lot Sales'!C30+E70</f>
        <v>1</v>
      </c>
      <c r="F71" s="129">
        <f>'Lot Sales'!C30*Dashboard!$F$6*'Lot Sales'!$C$5</f>
        <v>0</v>
      </c>
      <c r="G71" s="129">
        <f t="shared" si="8"/>
        <v>0</v>
      </c>
      <c r="H71" s="129">
        <f t="shared" si="11"/>
        <v>0</v>
      </c>
      <c r="I71" s="12">
        <f t="shared" si="9"/>
        <v>0</v>
      </c>
      <c r="J71" s="129">
        <f>(I71)*('A&amp;D Financing'!$C$9)</f>
        <v>0</v>
      </c>
      <c r="K71" s="129">
        <f t="shared" si="10"/>
        <v>0</v>
      </c>
      <c r="L71" s="129">
        <f>'A&amp;D Op Exp'!$C$15*(1-E71)*(1+'A&amp;D Op Exp'!$C$9)^(B71-1)</f>
        <v>0</v>
      </c>
      <c r="M71" s="129">
        <v>0</v>
      </c>
      <c r="N71" s="130"/>
    </row>
    <row r="72" spans="2:14" ht="15">
      <c r="B72" s="127">
        <v>19</v>
      </c>
      <c r="C72" s="129">
        <f>'A&amp;D Financing'!L34</f>
        <v>0</v>
      </c>
      <c r="D72" s="129">
        <f>'A&amp;D Financing'!M34</f>
        <v>0</v>
      </c>
      <c r="E72" s="31">
        <f>'Lot Sales'!C31+E71</f>
        <v>1</v>
      </c>
      <c r="F72" s="129">
        <f>'Lot Sales'!C31*Dashboard!$F$6*'Lot Sales'!$C$5</f>
        <v>0</v>
      </c>
      <c r="G72" s="129">
        <f t="shared" si="8"/>
        <v>0</v>
      </c>
      <c r="H72" s="129">
        <f t="shared" si="11"/>
        <v>0</v>
      </c>
      <c r="I72" s="12">
        <f t="shared" si="9"/>
        <v>0</v>
      </c>
      <c r="J72" s="129">
        <f>(I72)*('A&amp;D Financing'!$C$9)</f>
        <v>0</v>
      </c>
      <c r="K72" s="129">
        <f t="shared" si="10"/>
        <v>0</v>
      </c>
      <c r="L72" s="129">
        <f>'A&amp;D Op Exp'!$C$15*(1-E72)*(1+'A&amp;D Op Exp'!$C$9)^(B72-1)</f>
        <v>0</v>
      </c>
      <c r="M72" s="129">
        <v>0</v>
      </c>
      <c r="N72" s="130"/>
    </row>
    <row r="73" spans="2:14" ht="15">
      <c r="B73" s="127">
        <v>20</v>
      </c>
      <c r="C73" s="129">
        <f>'A&amp;D Financing'!L35</f>
        <v>0</v>
      </c>
      <c r="D73" s="129">
        <f>'A&amp;D Financing'!M35</f>
        <v>0</v>
      </c>
      <c r="E73" s="31">
        <f>'Lot Sales'!C32+E72</f>
        <v>1</v>
      </c>
      <c r="F73" s="129">
        <f>'Lot Sales'!C32*Dashboard!$F$6*'Lot Sales'!$C$5</f>
        <v>0</v>
      </c>
      <c r="G73" s="129">
        <f t="shared" si="8"/>
        <v>0</v>
      </c>
      <c r="H73" s="129">
        <f t="shared" si="11"/>
        <v>0</v>
      </c>
      <c r="I73" s="12">
        <f t="shared" si="9"/>
        <v>0</v>
      </c>
      <c r="J73" s="129">
        <f>(I73)*('A&amp;D Financing'!$C$9)</f>
        <v>0</v>
      </c>
      <c r="K73" s="129">
        <f t="shared" si="10"/>
        <v>0</v>
      </c>
      <c r="L73" s="129">
        <f>'A&amp;D Op Exp'!$C$15*(1-E73)*(1+'A&amp;D Op Exp'!$C$9)^(B73-1)</f>
        <v>0</v>
      </c>
      <c r="M73" s="129">
        <v>0</v>
      </c>
      <c r="N73" s="130"/>
    </row>
    <row r="74" spans="2:14" ht="15.75" thickBot="1">
      <c r="B74" s="131"/>
      <c r="C74" s="132"/>
      <c r="D74" s="132"/>
      <c r="E74" s="64"/>
      <c r="F74" s="132"/>
      <c r="G74" s="132"/>
      <c r="H74" s="132"/>
      <c r="I74" s="13"/>
      <c r="J74" s="132"/>
      <c r="K74" s="132"/>
      <c r="L74" s="132"/>
      <c r="M74" s="132"/>
      <c r="N74" s="133"/>
    </row>
  </sheetData>
  <sheetProtection/>
  <printOptions/>
  <pageMargins left="0.75" right="0.75" top="1" bottom="1"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tabColor theme="9" tint="0.7999799847602844"/>
  </sheetPr>
  <dimension ref="B3:X46"/>
  <sheetViews>
    <sheetView zoomScale="90" zoomScaleNormal="90" zoomScalePageLayoutView="0" workbookViewId="0" topLeftCell="G2">
      <selection activeCell="O32" sqref="O32"/>
    </sheetView>
  </sheetViews>
  <sheetFormatPr defaultColWidth="10.28125" defaultRowHeight="15"/>
  <cols>
    <col min="1" max="1" width="7.28125" style="76" customWidth="1"/>
    <col min="2" max="2" width="43.7109375" style="76" customWidth="1"/>
    <col min="3" max="22" width="13.28125" style="76" customWidth="1"/>
    <col min="23" max="23" width="4.7109375" style="76" customWidth="1"/>
    <col min="24" max="24" width="13.421875" style="76" customWidth="1"/>
    <col min="25" max="16384" width="10.28125" style="76" customWidth="1"/>
  </cols>
  <sheetData>
    <row r="2" ht="15.75" thickBot="1"/>
    <row r="3" spans="2:24" ht="15.75" thickBot="1">
      <c r="B3" s="59" t="s">
        <v>4</v>
      </c>
      <c r="C3" s="46">
        <v>1</v>
      </c>
      <c r="D3" s="46">
        <f>C3+1</f>
        <v>2</v>
      </c>
      <c r="E3" s="46">
        <f aca="true" t="shared" si="0" ref="E3:V3">D3+1</f>
        <v>3</v>
      </c>
      <c r="F3" s="46">
        <f t="shared" si="0"/>
        <v>4</v>
      </c>
      <c r="G3" s="46">
        <f t="shared" si="0"/>
        <v>5</v>
      </c>
      <c r="H3" s="46">
        <f t="shared" si="0"/>
        <v>6</v>
      </c>
      <c r="I3" s="46">
        <f t="shared" si="0"/>
        <v>7</v>
      </c>
      <c r="J3" s="46">
        <f t="shared" si="0"/>
        <v>8</v>
      </c>
      <c r="K3" s="46">
        <f t="shared" si="0"/>
        <v>9</v>
      </c>
      <c r="L3" s="46">
        <f t="shared" si="0"/>
        <v>10</v>
      </c>
      <c r="M3" s="46">
        <f t="shared" si="0"/>
        <v>11</v>
      </c>
      <c r="N3" s="46">
        <f t="shared" si="0"/>
        <v>12</v>
      </c>
      <c r="O3" s="46">
        <f t="shared" si="0"/>
        <v>13</v>
      </c>
      <c r="P3" s="46">
        <f t="shared" si="0"/>
        <v>14</v>
      </c>
      <c r="Q3" s="46">
        <f t="shared" si="0"/>
        <v>15</v>
      </c>
      <c r="R3" s="46">
        <f t="shared" si="0"/>
        <v>16</v>
      </c>
      <c r="S3" s="46">
        <f t="shared" si="0"/>
        <v>17</v>
      </c>
      <c r="T3" s="46">
        <f t="shared" si="0"/>
        <v>18</v>
      </c>
      <c r="U3" s="46">
        <f t="shared" si="0"/>
        <v>19</v>
      </c>
      <c r="V3" s="46">
        <f t="shared" si="0"/>
        <v>20</v>
      </c>
      <c r="W3" s="47"/>
      <c r="X3" s="489" t="s">
        <v>283</v>
      </c>
    </row>
    <row r="4" spans="2:24" ht="15">
      <c r="B4" s="10"/>
      <c r="C4" s="141"/>
      <c r="D4" s="141"/>
      <c r="E4" s="141"/>
      <c r="F4" s="141"/>
      <c r="G4" s="141"/>
      <c r="H4" s="141"/>
      <c r="I4" s="141"/>
      <c r="J4" s="141"/>
      <c r="K4" s="141"/>
      <c r="L4" s="141"/>
      <c r="M4" s="141"/>
      <c r="N4" s="141"/>
      <c r="O4" s="141"/>
      <c r="P4" s="141"/>
      <c r="Q4" s="141"/>
      <c r="R4" s="141"/>
      <c r="S4" s="141"/>
      <c r="T4" s="141"/>
      <c r="U4" s="141"/>
      <c r="V4" s="141"/>
      <c r="W4" s="142"/>
      <c r="X4" s="142"/>
    </row>
    <row r="5" spans="2:24" ht="15">
      <c r="B5" s="10" t="s">
        <v>168</v>
      </c>
      <c r="C5" s="141"/>
      <c r="D5" s="141"/>
      <c r="E5" s="141"/>
      <c r="F5" s="141"/>
      <c r="G5" s="141"/>
      <c r="H5" s="141"/>
      <c r="I5" s="141"/>
      <c r="J5" s="141"/>
      <c r="K5" s="141"/>
      <c r="L5" s="141"/>
      <c r="M5" s="141"/>
      <c r="N5" s="141"/>
      <c r="O5" s="141"/>
      <c r="P5" s="141"/>
      <c r="Q5" s="141"/>
      <c r="R5" s="141"/>
      <c r="S5" s="141"/>
      <c r="T5" s="141"/>
      <c r="U5" s="141"/>
      <c r="V5" s="141"/>
      <c r="W5" s="142"/>
      <c r="X5" s="142"/>
    </row>
    <row r="6" spans="2:24" ht="15">
      <c r="B6" s="39" t="s">
        <v>36</v>
      </c>
      <c r="C6" s="144">
        <f ca="1">OFFSET('A&amp;D Calculations'!$F$4,C3-1,0,,)</f>
        <v>0</v>
      </c>
      <c r="D6" s="144">
        <f ca="1">OFFSET('A&amp;D Calculations'!$F$4,D3-1,0,,)</f>
        <v>115736.02388081186</v>
      </c>
      <c r="E6" s="144">
        <f ca="1">OFFSET('A&amp;D Calculations'!$F$4,E3-1,0,,)</f>
        <v>462944.09552324744</v>
      </c>
      <c r="F6" s="144">
        <f ca="1">OFFSET('A&amp;D Calculations'!$F$4,F3-1,0,,)</f>
        <v>578680.1194040593</v>
      </c>
      <c r="G6" s="144">
        <f ca="1">OFFSET('A&amp;D Calculations'!$F$4,G3-1,0,,)</f>
        <v>578680.1194040593</v>
      </c>
      <c r="H6" s="144">
        <f ca="1">OFFSET('A&amp;D Calculations'!$F$4,H3-1,0,,)</f>
        <v>462944.09552324744</v>
      </c>
      <c r="I6" s="144">
        <f ca="1">OFFSET('A&amp;D Calculations'!$F$4,I3-1,0,,)</f>
        <v>115736.02388081186</v>
      </c>
      <c r="J6" s="144">
        <f ca="1">OFFSET('A&amp;D Calculations'!$F$4,J3-1,0,,)</f>
        <v>0</v>
      </c>
      <c r="K6" s="144">
        <f ca="1">OFFSET('A&amp;D Calculations'!$F$4,K3-1,0,,)</f>
        <v>0</v>
      </c>
      <c r="L6" s="144">
        <f ca="1">OFFSET('A&amp;D Calculations'!$F$4,L3-1,0,,)</f>
        <v>0</v>
      </c>
      <c r="M6" s="144">
        <f ca="1">OFFSET('A&amp;D Calculations'!$F$4,M3-1,0,,)</f>
        <v>0</v>
      </c>
      <c r="N6" s="144">
        <f ca="1">OFFSET('A&amp;D Calculations'!$F$4,N3-1,0,,)</f>
        <v>0</v>
      </c>
      <c r="O6" s="144">
        <f ca="1">OFFSET('A&amp;D Calculations'!$F$4,O3-1,0,,)</f>
        <v>0</v>
      </c>
      <c r="P6" s="144">
        <f ca="1">OFFSET('A&amp;D Calculations'!$F$4,P3-1,0,,)</f>
        <v>0</v>
      </c>
      <c r="Q6" s="144">
        <f ca="1">OFFSET('A&amp;D Calculations'!$F$4,Q3-1,0,,)</f>
        <v>0</v>
      </c>
      <c r="R6" s="144">
        <f ca="1">OFFSET('A&amp;D Calculations'!$F$4,R3-1,0,,)</f>
        <v>0</v>
      </c>
      <c r="S6" s="144">
        <f ca="1">OFFSET('A&amp;D Calculations'!$F$4,S3-1,0,,)</f>
        <v>0</v>
      </c>
      <c r="T6" s="144">
        <f ca="1">OFFSET('A&amp;D Calculations'!$F$4,T3-1,0,,)</f>
        <v>0</v>
      </c>
      <c r="U6" s="144">
        <f ca="1">OFFSET('A&amp;D Calculations'!$F$4,U3-1,0,,)</f>
        <v>0</v>
      </c>
      <c r="V6" s="144">
        <f ca="1">OFFSET('A&amp;D Calculations'!$F$4,V3-1,0,,)</f>
        <v>0</v>
      </c>
      <c r="W6" s="143"/>
      <c r="X6" s="143">
        <f>SUM(C6:W6)</f>
        <v>2314720.477616237</v>
      </c>
    </row>
    <row r="7" spans="2:24" ht="15">
      <c r="B7" s="39"/>
      <c r="C7" s="144"/>
      <c r="D7" s="144"/>
      <c r="E7" s="144"/>
      <c r="F7" s="144"/>
      <c r="G7" s="144"/>
      <c r="H7" s="144"/>
      <c r="I7" s="144"/>
      <c r="J7" s="144"/>
      <c r="K7" s="144"/>
      <c r="L7" s="144"/>
      <c r="M7" s="144"/>
      <c r="N7" s="144"/>
      <c r="O7" s="144"/>
      <c r="P7" s="144"/>
      <c r="Q7" s="144"/>
      <c r="R7" s="144"/>
      <c r="S7" s="144"/>
      <c r="T7" s="144"/>
      <c r="U7" s="144"/>
      <c r="V7" s="144"/>
      <c r="W7" s="143"/>
      <c r="X7" s="143"/>
    </row>
    <row r="8" spans="2:24" ht="15">
      <c r="B8" s="10" t="s">
        <v>169</v>
      </c>
      <c r="C8" s="141"/>
      <c r="D8" s="141"/>
      <c r="E8" s="141"/>
      <c r="F8" s="141"/>
      <c r="G8" s="141"/>
      <c r="H8" s="141"/>
      <c r="I8" s="141"/>
      <c r="J8" s="141"/>
      <c r="K8" s="141"/>
      <c r="L8" s="141"/>
      <c r="M8" s="141"/>
      <c r="N8" s="141"/>
      <c r="O8" s="141"/>
      <c r="P8" s="141"/>
      <c r="Q8" s="141"/>
      <c r="R8" s="141"/>
      <c r="S8" s="141"/>
      <c r="T8" s="141"/>
      <c r="U8" s="141"/>
      <c r="V8" s="141"/>
      <c r="W8" s="142"/>
      <c r="X8" s="142"/>
    </row>
    <row r="9" spans="2:24" ht="15">
      <c r="B9" s="39" t="s">
        <v>173</v>
      </c>
      <c r="C9" s="144">
        <f ca="1">SUM(OFFSET('A&amp;D Calculations'!$C$4,C3-1,0,,),OFFSET('A&amp;D Calculations'!$D$4,C3-1,0,,))</f>
        <v>1160250</v>
      </c>
      <c r="D9" s="144">
        <f ca="1">SUM(OFFSET('A&amp;D Calculations'!$C$4,D3-1,0,,),OFFSET('A&amp;D Calculations'!$D$4,D3-1,0,,))</f>
        <v>624750</v>
      </c>
      <c r="E9" s="144">
        <f ca="1">SUM(OFFSET('A&amp;D Calculations'!$C$4,E3-1,0,,),OFFSET('A&amp;D Calculations'!$D$4,E3-1,0,,))</f>
        <v>0</v>
      </c>
      <c r="F9" s="144">
        <f ca="1">SUM(OFFSET('A&amp;D Calculations'!$C$4,F3-1,0,,),OFFSET('A&amp;D Calculations'!$D$4,F3-1,0,,))</f>
        <v>0</v>
      </c>
      <c r="G9" s="144">
        <f ca="1">SUM(OFFSET('A&amp;D Calculations'!$C$4,G3-1,0,,),OFFSET('A&amp;D Calculations'!$D$4,G3-1,0,,))</f>
        <v>0</v>
      </c>
      <c r="H9" s="144">
        <f ca="1">SUM(OFFSET('A&amp;D Calculations'!$C$4,H3-1,0,,),OFFSET('A&amp;D Calculations'!$D$4,H3-1,0,,))</f>
        <v>0</v>
      </c>
      <c r="I9" s="144">
        <f ca="1">SUM(OFFSET('A&amp;D Calculations'!$C$4,I3-1,0,,),OFFSET('A&amp;D Calculations'!$D$4,I3-1,0,,))</f>
        <v>0</v>
      </c>
      <c r="J9" s="144">
        <f ca="1">SUM(OFFSET('A&amp;D Calculations'!$C$4,J3-1,0,,),OFFSET('A&amp;D Calculations'!$D$4,J3-1,0,,))</f>
        <v>0</v>
      </c>
      <c r="K9" s="144">
        <f ca="1">SUM(OFFSET('A&amp;D Calculations'!$C$4,K3-1,0,,),OFFSET('A&amp;D Calculations'!$D$4,K3-1,0,,))</f>
        <v>0</v>
      </c>
      <c r="L9" s="144">
        <f ca="1">SUM(OFFSET('A&amp;D Calculations'!$C$4,L3-1,0,,),OFFSET('A&amp;D Calculations'!$D$4,L3-1,0,,))</f>
        <v>0</v>
      </c>
      <c r="M9" s="144">
        <f ca="1">SUM(OFFSET('A&amp;D Calculations'!$C$4,M3-1,0,,),OFFSET('A&amp;D Calculations'!$D$4,M3-1,0,,))</f>
        <v>0</v>
      </c>
      <c r="N9" s="144">
        <f ca="1">SUM(OFFSET('A&amp;D Calculations'!$C$4,N3-1,0,,),OFFSET('A&amp;D Calculations'!$D$4,N3-1,0,,))</f>
        <v>0</v>
      </c>
      <c r="O9" s="144">
        <f ca="1">SUM(OFFSET('A&amp;D Calculations'!$C$4,O3-1,0,,),OFFSET('A&amp;D Calculations'!$D$4,O3-1,0,,))</f>
        <v>0</v>
      </c>
      <c r="P9" s="144">
        <f ca="1">SUM(OFFSET('A&amp;D Calculations'!$C$4,P3-1,0,,),OFFSET('A&amp;D Calculations'!$D$4,P3-1,0,,))</f>
        <v>0</v>
      </c>
      <c r="Q9" s="144">
        <f ca="1">SUM(OFFSET('A&amp;D Calculations'!$C$4,Q3-1,0,,),OFFSET('A&amp;D Calculations'!$D$4,Q3-1,0,,))</f>
        <v>0</v>
      </c>
      <c r="R9" s="144">
        <f ca="1">SUM(OFFSET('A&amp;D Calculations'!$C$4,R3-1,0,,),OFFSET('A&amp;D Calculations'!$D$4,R3-1,0,,))</f>
        <v>0</v>
      </c>
      <c r="S9" s="144">
        <f ca="1">SUM(OFFSET('A&amp;D Calculations'!$C$4,S3-1,0,,),OFFSET('A&amp;D Calculations'!$D$4,S3-1,0,,))</f>
        <v>0</v>
      </c>
      <c r="T9" s="144">
        <f ca="1">SUM(OFFSET('A&amp;D Calculations'!$C$4,T3-1,0,,),OFFSET('A&amp;D Calculations'!$D$4,T3-1,0,,))</f>
        <v>0</v>
      </c>
      <c r="U9" s="144">
        <f ca="1">SUM(OFFSET('A&amp;D Calculations'!$C$4,U3-1,0,,),OFFSET('A&amp;D Calculations'!$D$4,U3-1,0,,))</f>
        <v>0</v>
      </c>
      <c r="V9" s="144">
        <f ca="1">SUM(OFFSET('A&amp;D Calculations'!$C$4,V3-1,0,,),OFFSET('A&amp;D Calculations'!$D$4,V3-1,0,,))</f>
        <v>0</v>
      </c>
      <c r="W9" s="143"/>
      <c r="X9" s="143">
        <f>SUM(C9:W9)</f>
        <v>1785000</v>
      </c>
    </row>
    <row r="10" spans="2:24" ht="15">
      <c r="B10" s="39" t="s">
        <v>50</v>
      </c>
      <c r="C10" s="144">
        <f ca="1">OFFSET('A&amp;D Calculations'!$L$4,C3-1,0,,)</f>
        <v>90000</v>
      </c>
      <c r="D10" s="144">
        <f ca="1">OFFSET('A&amp;D Calculations'!$L$4,D3-1,0,,)</f>
        <v>85500</v>
      </c>
      <c r="E10" s="144">
        <f ca="1">OFFSET('A&amp;D Calculations'!$L$4,E3-1,0,,)</f>
        <v>67500</v>
      </c>
      <c r="F10" s="144">
        <f ca="1">OFFSET('A&amp;D Calculations'!$L$4,F3-1,0,,)</f>
        <v>45000</v>
      </c>
      <c r="G10" s="144">
        <f ca="1">OFFSET('A&amp;D Calculations'!$L$4,G3-1,0,,)</f>
        <v>22500</v>
      </c>
      <c r="H10" s="144">
        <f ca="1">OFFSET('A&amp;D Calculations'!$L$4,H3-1,0,,)</f>
        <v>4500.000000000004</v>
      </c>
      <c r="I10" s="144">
        <f ca="1">OFFSET('A&amp;D Calculations'!$L$4,I3-1,0,,)</f>
        <v>0</v>
      </c>
      <c r="J10" s="144">
        <f ca="1">OFFSET('A&amp;D Calculations'!$L$4,J3-1,0,,)</f>
        <v>0</v>
      </c>
      <c r="K10" s="144">
        <f ca="1">OFFSET('A&amp;D Calculations'!$L$4,K3-1,0,,)</f>
        <v>0</v>
      </c>
      <c r="L10" s="144">
        <f ca="1">OFFSET('A&amp;D Calculations'!$L$4,L3-1,0,,)</f>
        <v>0</v>
      </c>
      <c r="M10" s="144">
        <f ca="1">OFFSET('A&amp;D Calculations'!$L$4,M3-1,0,,)</f>
        <v>0</v>
      </c>
      <c r="N10" s="144">
        <f ca="1">OFFSET('A&amp;D Calculations'!$L$4,N3-1,0,,)</f>
        <v>0</v>
      </c>
      <c r="O10" s="144">
        <f ca="1">OFFSET('A&amp;D Calculations'!$L$4,O3-1,0,,)</f>
        <v>0</v>
      </c>
      <c r="P10" s="144">
        <f ca="1">OFFSET('A&amp;D Calculations'!$L$4,P3-1,0,,)</f>
        <v>0</v>
      </c>
      <c r="Q10" s="144">
        <f ca="1">OFFSET('A&amp;D Calculations'!$L$4,Q3-1,0,,)</f>
        <v>0</v>
      </c>
      <c r="R10" s="144">
        <f ca="1">OFFSET('A&amp;D Calculations'!$L$4,R3-1,0,,)</f>
        <v>0</v>
      </c>
      <c r="S10" s="144">
        <f ca="1">OFFSET('A&amp;D Calculations'!$L$4,S3-1,0,,)</f>
        <v>0</v>
      </c>
      <c r="T10" s="144">
        <f ca="1">OFFSET('A&amp;D Calculations'!$L$4,T3-1,0,,)</f>
        <v>0</v>
      </c>
      <c r="U10" s="144">
        <f ca="1">OFFSET('A&amp;D Calculations'!$L$4,U3-1,0,,)</f>
        <v>0</v>
      </c>
      <c r="V10" s="144">
        <f ca="1">OFFSET('A&amp;D Calculations'!$L$4,V3-1,0,,)</f>
        <v>0</v>
      </c>
      <c r="W10" s="143"/>
      <c r="X10" s="143">
        <f>SUM(C10:W10)</f>
        <v>315000</v>
      </c>
    </row>
    <row r="11" spans="2:24" ht="15">
      <c r="B11" s="39"/>
      <c r="C11" s="144"/>
      <c r="D11" s="141"/>
      <c r="E11" s="141"/>
      <c r="F11" s="141"/>
      <c r="G11" s="141"/>
      <c r="H11" s="141"/>
      <c r="I11" s="141"/>
      <c r="J11" s="141"/>
      <c r="K11" s="141"/>
      <c r="L11" s="141"/>
      <c r="M11" s="141"/>
      <c r="N11" s="141"/>
      <c r="O11" s="141"/>
      <c r="P11" s="141"/>
      <c r="Q11" s="141"/>
      <c r="R11" s="141"/>
      <c r="S11" s="141"/>
      <c r="T11" s="141"/>
      <c r="U11" s="141"/>
      <c r="V11" s="141"/>
      <c r="W11" s="142"/>
      <c r="X11" s="142"/>
    </row>
    <row r="12" spans="2:24" ht="15">
      <c r="B12" s="10" t="s">
        <v>171</v>
      </c>
      <c r="C12" s="141"/>
      <c r="D12" s="141"/>
      <c r="E12" s="141"/>
      <c r="F12" s="141"/>
      <c r="G12" s="141"/>
      <c r="H12" s="141"/>
      <c r="I12" s="141"/>
      <c r="J12" s="141"/>
      <c r="K12" s="141"/>
      <c r="L12" s="141"/>
      <c r="M12" s="141"/>
      <c r="N12" s="141"/>
      <c r="O12" s="141"/>
      <c r="P12" s="141"/>
      <c r="Q12" s="141"/>
      <c r="R12" s="141"/>
      <c r="S12" s="141"/>
      <c r="T12" s="141"/>
      <c r="U12" s="141"/>
      <c r="V12" s="141"/>
      <c r="W12" s="142"/>
      <c r="X12" s="142"/>
    </row>
    <row r="13" spans="2:24" ht="15">
      <c r="B13" s="39" t="s">
        <v>38</v>
      </c>
      <c r="C13" s="139">
        <f ca="1">OFFSET('A&amp;D Calculations'!$C$4,C3-1,0,,)</f>
        <v>936000</v>
      </c>
      <c r="D13" s="139">
        <f ca="1">OFFSET('A&amp;D Calculations'!$C$4,D3-1,0,,)</f>
        <v>504000</v>
      </c>
      <c r="E13" s="139">
        <f ca="1">OFFSET('A&amp;D Calculations'!$C$4,E3-1,0,,)</f>
        <v>0</v>
      </c>
      <c r="F13" s="139">
        <f ca="1">OFFSET('A&amp;D Calculations'!$C$4,F3-1,0,,)</f>
        <v>0</v>
      </c>
      <c r="G13" s="139">
        <f ca="1">OFFSET('A&amp;D Calculations'!$C$4,G3-1,0,,)</f>
        <v>0</v>
      </c>
      <c r="H13" s="139">
        <f ca="1">OFFSET('A&amp;D Calculations'!$C$4,H3-1,0,,)</f>
        <v>0</v>
      </c>
      <c r="I13" s="139">
        <f ca="1">OFFSET('A&amp;D Calculations'!$C$4,I3-1,0,,)</f>
        <v>0</v>
      </c>
      <c r="J13" s="139">
        <f ca="1">OFFSET('A&amp;D Calculations'!$C$4,J3-1,0,,)</f>
        <v>0</v>
      </c>
      <c r="K13" s="139">
        <f ca="1">OFFSET('A&amp;D Calculations'!$C$4,K3-1,0,,)</f>
        <v>0</v>
      </c>
      <c r="L13" s="139">
        <f ca="1">OFFSET('A&amp;D Calculations'!$C$4,L3-1,0,,)</f>
        <v>0</v>
      </c>
      <c r="M13" s="139">
        <f ca="1">OFFSET('A&amp;D Calculations'!$C$4,M3-1,0,,)</f>
        <v>0</v>
      </c>
      <c r="N13" s="139">
        <f ca="1">OFFSET('A&amp;D Calculations'!$C$4,N3-1,0,,)</f>
        <v>0</v>
      </c>
      <c r="O13" s="139">
        <f ca="1">OFFSET('A&amp;D Calculations'!$C$4,O3-1,0,,)</f>
        <v>0</v>
      </c>
      <c r="P13" s="139">
        <f ca="1">OFFSET('A&amp;D Calculations'!$C$4,P3-1,0,,)</f>
        <v>0</v>
      </c>
      <c r="Q13" s="139">
        <f ca="1">OFFSET('A&amp;D Calculations'!$C$4,Q3-1,0,,)</f>
        <v>0</v>
      </c>
      <c r="R13" s="139">
        <f ca="1">OFFSET('A&amp;D Calculations'!$C$4,R3-1,0,,)</f>
        <v>0</v>
      </c>
      <c r="S13" s="139">
        <f ca="1">OFFSET('A&amp;D Calculations'!$C$4,S3-1,0,,)</f>
        <v>0</v>
      </c>
      <c r="T13" s="139">
        <f ca="1">OFFSET('A&amp;D Calculations'!$C$4,T3-1,0,,)</f>
        <v>0</v>
      </c>
      <c r="U13" s="139">
        <f ca="1">OFFSET('A&amp;D Calculations'!$C$4,U3-1,0,,)</f>
        <v>0</v>
      </c>
      <c r="V13" s="139">
        <f ca="1">OFFSET('A&amp;D Calculations'!$C$4,V3-1,0,,)</f>
        <v>0</v>
      </c>
      <c r="W13" s="145"/>
      <c r="X13" s="143">
        <f>SUM(C13:W13)</f>
        <v>1440000</v>
      </c>
    </row>
    <row r="14" spans="2:24" ht="15">
      <c r="B14" s="39" t="s">
        <v>102</v>
      </c>
      <c r="C14" s="139">
        <f ca="1">OFFSET('A&amp;D Calculations'!$M$4,C3-1,0,,)</f>
        <v>14400</v>
      </c>
      <c r="D14" s="139">
        <f ca="1">OFFSET('A&amp;D Calculations'!$M$4,D3-1,0,,)</f>
        <v>0</v>
      </c>
      <c r="E14" s="139">
        <f ca="1">OFFSET('A&amp;D Calculations'!$M$4,E3-1,0,,)</f>
        <v>0</v>
      </c>
      <c r="F14" s="139">
        <f ca="1">OFFSET('A&amp;D Calculations'!$M$4,F3-1,0,,)</f>
        <v>0</v>
      </c>
      <c r="G14" s="139">
        <f ca="1">OFFSET('A&amp;D Calculations'!$M$4,G3-1,0,,)</f>
        <v>0</v>
      </c>
      <c r="H14" s="139">
        <f ca="1">OFFSET('A&amp;D Calculations'!$M$4,H3-1,0,,)</f>
        <v>0</v>
      </c>
      <c r="I14" s="139">
        <f ca="1">OFFSET('A&amp;D Calculations'!$M$4,I3-1,0,,)</f>
        <v>0</v>
      </c>
      <c r="J14" s="139">
        <f ca="1">OFFSET('A&amp;D Calculations'!$M$4,J3-1,0,,)</f>
        <v>0</v>
      </c>
      <c r="K14" s="139">
        <f ca="1">OFFSET('A&amp;D Calculations'!$M$4,K3-1,0,,)</f>
        <v>0</v>
      </c>
      <c r="L14" s="139">
        <f ca="1">OFFSET('A&amp;D Calculations'!$M$4,L3-1,0,,)</f>
        <v>0</v>
      </c>
      <c r="M14" s="139">
        <f ca="1">OFFSET('A&amp;D Calculations'!$M$4,M3-1,0,,)</f>
        <v>0</v>
      </c>
      <c r="N14" s="139">
        <f ca="1">OFFSET('A&amp;D Calculations'!$M$4,N3-1,0,,)</f>
        <v>0</v>
      </c>
      <c r="O14" s="139">
        <f ca="1">OFFSET('A&amp;D Calculations'!$M$4,O3-1,0,,)</f>
        <v>0</v>
      </c>
      <c r="P14" s="139">
        <f ca="1">OFFSET('A&amp;D Calculations'!$M$4,P3-1,0,,)</f>
        <v>0</v>
      </c>
      <c r="Q14" s="139">
        <f ca="1">OFFSET('A&amp;D Calculations'!$M$4,Q3-1,0,,)</f>
        <v>0</v>
      </c>
      <c r="R14" s="139">
        <f ca="1">OFFSET('A&amp;D Calculations'!$M$4,R3-1,0,,)</f>
        <v>0</v>
      </c>
      <c r="S14" s="139">
        <f ca="1">OFFSET('A&amp;D Calculations'!$M$4,S3-1,0,,)</f>
        <v>0</v>
      </c>
      <c r="T14" s="139">
        <f ca="1">OFFSET('A&amp;D Calculations'!$M$4,T3-1,0,,)</f>
        <v>0</v>
      </c>
      <c r="U14" s="139">
        <f ca="1">OFFSET('A&amp;D Calculations'!$M$4,U3-1,0,,)</f>
        <v>0</v>
      </c>
      <c r="V14" s="139">
        <f ca="1">OFFSET('A&amp;D Calculations'!$M$4,V3-1,0,,)</f>
        <v>0</v>
      </c>
      <c r="W14" s="142"/>
      <c r="X14" s="143">
        <f>SUM(C14:W14)</f>
        <v>14400</v>
      </c>
    </row>
    <row r="15" spans="2:24" ht="15">
      <c r="B15" s="39" t="s">
        <v>39</v>
      </c>
      <c r="C15" s="139">
        <f ca="1">OFFSET('A&amp;D Calculations'!$H$4,C3-1,0,,)</f>
        <v>0</v>
      </c>
      <c r="D15" s="139">
        <f ca="1">OFFSET('A&amp;D Calculations'!$H$4,D3-1,0,,)</f>
        <v>54896.02388081186</v>
      </c>
      <c r="E15" s="139">
        <f ca="1">OFFSET('A&amp;D Calculations'!$H$4,E3-1,0,,)</f>
        <v>372912.3370755002</v>
      </c>
      <c r="F15" s="139">
        <f ca="1">OFFSET('A&amp;D Calculations'!$H$4,F3-1,0,,)</f>
        <v>512887.6628662195</v>
      </c>
      <c r="G15" s="139">
        <f ca="1">OFFSET('A&amp;D Calculations'!$H$4,G3-1,0,,)</f>
        <v>499303.9761774683</v>
      </c>
      <c r="H15" s="139">
        <f ca="1">OFFSET('A&amp;D Calculations'!$H$4,H3-1,0,,)</f>
        <v>0</v>
      </c>
      <c r="I15" s="139">
        <f ca="1">OFFSET('A&amp;D Calculations'!$H$4,I3-1,0,,)</f>
        <v>0</v>
      </c>
      <c r="J15" s="139">
        <f ca="1">OFFSET('A&amp;D Calculations'!$H$4,J3-1,0,,)</f>
        <v>0</v>
      </c>
      <c r="K15" s="139">
        <f ca="1">OFFSET('A&amp;D Calculations'!$H$4,K3-1,0,,)</f>
        <v>0</v>
      </c>
      <c r="L15" s="139">
        <f ca="1">OFFSET('A&amp;D Calculations'!$H$4,L3-1,0,,)</f>
        <v>0</v>
      </c>
      <c r="M15" s="139">
        <f ca="1">OFFSET('A&amp;D Calculations'!$H$4,M3-1,0,,)</f>
        <v>0</v>
      </c>
      <c r="N15" s="139">
        <f ca="1">OFFSET('A&amp;D Calculations'!$H$4,N3-1,0,,)</f>
        <v>0</v>
      </c>
      <c r="O15" s="139">
        <f ca="1">OFFSET('A&amp;D Calculations'!$H$4,O3-1,0,,)</f>
        <v>0</v>
      </c>
      <c r="P15" s="139">
        <f ca="1">OFFSET('A&amp;D Calculations'!$H$4,P3-1,0,,)</f>
        <v>0</v>
      </c>
      <c r="Q15" s="139">
        <f ca="1">OFFSET('A&amp;D Calculations'!$H$4,Q3-1,0,,)</f>
        <v>0</v>
      </c>
      <c r="R15" s="139">
        <f ca="1">OFFSET('A&amp;D Calculations'!$H$4,R3-1,0,,)</f>
        <v>0</v>
      </c>
      <c r="S15" s="139">
        <f ca="1">OFFSET('A&amp;D Calculations'!$H$4,S3-1,0,,)</f>
        <v>0</v>
      </c>
      <c r="T15" s="139">
        <f ca="1">OFFSET('A&amp;D Calculations'!$H$4,T3-1,0,,)</f>
        <v>0</v>
      </c>
      <c r="U15" s="139">
        <f ca="1">OFFSET('A&amp;D Calculations'!$H$4,U3-1,0,,)</f>
        <v>0</v>
      </c>
      <c r="V15" s="139">
        <f ca="1">OFFSET('A&amp;D Calculations'!$H$4,V3-1,0,,)</f>
        <v>0</v>
      </c>
      <c r="W15" s="145"/>
      <c r="X15" s="143">
        <f>SUM(C15:W15)</f>
        <v>1440000</v>
      </c>
    </row>
    <row r="16" spans="2:24" ht="15">
      <c r="B16" s="39" t="s">
        <v>174</v>
      </c>
      <c r="C16" s="139">
        <f ca="1">OFFSET('A&amp;D Calculations'!$G$4,C3-1,0,,)</f>
        <v>0</v>
      </c>
      <c r="D16" s="139">
        <f ca="1">OFFSET('A&amp;D Calculations'!$G$4,D3-1,0,,)</f>
        <v>60840</v>
      </c>
      <c r="E16" s="139">
        <f ca="1">OFFSET('A&amp;D Calculations'!$G$4,E3-1,0,,)</f>
        <v>90031.75844774721</v>
      </c>
      <c r="F16" s="139">
        <f ca="1">OFFSET('A&amp;D Calculations'!$G$4,F3-1,0,,)</f>
        <v>65792.45653783972</v>
      </c>
      <c r="G16" s="139">
        <f ca="1">OFFSET('A&amp;D Calculations'!$G$4,G3-1,0,,)</f>
        <v>32454.75845153544</v>
      </c>
      <c r="H16" s="139">
        <f ca="1">OFFSET('A&amp;D Calculations'!$G$4,H3-1,0,,)</f>
        <v>0</v>
      </c>
      <c r="I16" s="139">
        <f ca="1">OFFSET('A&amp;D Calculations'!$G$4,I3-1,0,,)</f>
        <v>0</v>
      </c>
      <c r="J16" s="139">
        <f ca="1">OFFSET('A&amp;D Calculations'!$G$4,J3-1,0,,)</f>
        <v>0</v>
      </c>
      <c r="K16" s="139">
        <f ca="1">OFFSET('A&amp;D Calculations'!$G$4,K3-1,0,,)</f>
        <v>0</v>
      </c>
      <c r="L16" s="139">
        <f ca="1">OFFSET('A&amp;D Calculations'!$G$4,L3-1,0,,)</f>
        <v>0</v>
      </c>
      <c r="M16" s="139">
        <f ca="1">OFFSET('A&amp;D Calculations'!$G$4,M3-1,0,,)</f>
        <v>0</v>
      </c>
      <c r="N16" s="139">
        <f ca="1">OFFSET('A&amp;D Calculations'!$G$4,N3-1,0,,)</f>
        <v>0</v>
      </c>
      <c r="O16" s="139">
        <f ca="1">OFFSET('A&amp;D Calculations'!$G$4,O3-1,0,,)</f>
        <v>0</v>
      </c>
      <c r="P16" s="139">
        <f ca="1">OFFSET('A&amp;D Calculations'!$G$4,P3-1,0,,)</f>
        <v>0</v>
      </c>
      <c r="Q16" s="139">
        <f ca="1">OFFSET('A&amp;D Calculations'!$G$4,Q3-1,0,,)</f>
        <v>0</v>
      </c>
      <c r="R16" s="139">
        <f ca="1">OFFSET('A&amp;D Calculations'!$G$4,R3-1,0,,)</f>
        <v>0</v>
      </c>
      <c r="S16" s="139">
        <f ca="1">OFFSET('A&amp;D Calculations'!$G$4,S3-1,0,,)</f>
        <v>0</v>
      </c>
      <c r="T16" s="139">
        <f ca="1">OFFSET('A&amp;D Calculations'!$G$4,T3-1,0,,)</f>
        <v>0</v>
      </c>
      <c r="U16" s="139">
        <f ca="1">OFFSET('A&amp;D Calculations'!$G$4,U3-1,0,,)</f>
        <v>0</v>
      </c>
      <c r="V16" s="139">
        <f ca="1">IF(V15&gt;0,SUM('A&amp;D Calculations'!$K$4:OFFSET('A&amp;D Calculations'!$K$4,V3-1,0,,)),0)</f>
        <v>0</v>
      </c>
      <c r="W16" s="145"/>
      <c r="X16" s="143">
        <f>SUM(C16:W16)</f>
        <v>249118.97343712236</v>
      </c>
    </row>
    <row r="17" spans="2:24" ht="15">
      <c r="B17" s="39"/>
      <c r="C17" s="141"/>
      <c r="D17" s="141"/>
      <c r="E17" s="141"/>
      <c r="F17" s="141"/>
      <c r="G17" s="141"/>
      <c r="H17" s="141"/>
      <c r="I17" s="141"/>
      <c r="J17" s="141"/>
      <c r="K17" s="141"/>
      <c r="L17" s="141"/>
      <c r="M17" s="141"/>
      <c r="N17" s="141"/>
      <c r="O17" s="141"/>
      <c r="P17" s="141"/>
      <c r="Q17" s="141"/>
      <c r="R17" s="141"/>
      <c r="S17" s="141"/>
      <c r="T17" s="141"/>
      <c r="U17" s="141"/>
      <c r="V17" s="141"/>
      <c r="W17" s="142"/>
      <c r="X17" s="143"/>
    </row>
    <row r="18" spans="2:24" ht="15.75" thickBot="1">
      <c r="B18" s="32" t="s">
        <v>172</v>
      </c>
      <c r="C18" s="147">
        <f aca="true" t="shared" si="1" ref="C18:V18">C6+C13-C9-C10-C14-C15-C16</f>
        <v>-328650</v>
      </c>
      <c r="D18" s="147">
        <f t="shared" si="1"/>
        <v>-206250</v>
      </c>
      <c r="E18" s="147">
        <f t="shared" si="1"/>
        <v>-67500</v>
      </c>
      <c r="F18" s="147">
        <f t="shared" si="1"/>
        <v>-45000</v>
      </c>
      <c r="G18" s="147">
        <f t="shared" si="1"/>
        <v>24421.3847750555</v>
      </c>
      <c r="H18" s="147">
        <f t="shared" si="1"/>
        <v>458444.09552324744</v>
      </c>
      <c r="I18" s="147">
        <f t="shared" si="1"/>
        <v>115736.02388081186</v>
      </c>
      <c r="J18" s="147">
        <f t="shared" si="1"/>
        <v>0</v>
      </c>
      <c r="K18" s="147">
        <f t="shared" si="1"/>
        <v>0</v>
      </c>
      <c r="L18" s="147">
        <f t="shared" si="1"/>
        <v>0</v>
      </c>
      <c r="M18" s="147">
        <f t="shared" si="1"/>
        <v>0</v>
      </c>
      <c r="N18" s="147">
        <f t="shared" si="1"/>
        <v>0</v>
      </c>
      <c r="O18" s="147">
        <f t="shared" si="1"/>
        <v>0</v>
      </c>
      <c r="P18" s="147">
        <f t="shared" si="1"/>
        <v>0</v>
      </c>
      <c r="Q18" s="147">
        <f t="shared" si="1"/>
        <v>0</v>
      </c>
      <c r="R18" s="147">
        <f t="shared" si="1"/>
        <v>0</v>
      </c>
      <c r="S18" s="147">
        <f t="shared" si="1"/>
        <v>0</v>
      </c>
      <c r="T18" s="147">
        <f t="shared" si="1"/>
        <v>0</v>
      </c>
      <c r="U18" s="147">
        <f t="shared" si="1"/>
        <v>0</v>
      </c>
      <c r="V18" s="147">
        <f t="shared" si="1"/>
        <v>0</v>
      </c>
      <c r="W18" s="148"/>
      <c r="X18" s="148">
        <f>SUM(C18:W18)</f>
        <v>-48798.49582088525</v>
      </c>
    </row>
    <row r="19" spans="2:24" ht="15">
      <c r="B19" s="39"/>
      <c r="C19" s="144"/>
      <c r="D19" s="144"/>
      <c r="E19" s="144"/>
      <c r="F19" s="144"/>
      <c r="G19" s="144"/>
      <c r="H19" s="144"/>
      <c r="I19" s="144"/>
      <c r="J19" s="144"/>
      <c r="K19" s="144"/>
      <c r="L19" s="144"/>
      <c r="M19" s="144"/>
      <c r="N19" s="144"/>
      <c r="O19" s="144"/>
      <c r="P19" s="144"/>
      <c r="Q19" s="144"/>
      <c r="R19" s="144"/>
      <c r="S19" s="144"/>
      <c r="T19" s="144"/>
      <c r="U19" s="144"/>
      <c r="V19" s="144"/>
      <c r="W19" s="142"/>
      <c r="X19" s="142"/>
    </row>
    <row r="20" spans="2:24" ht="15">
      <c r="B20" s="39" t="s">
        <v>278</v>
      </c>
      <c r="C20" s="144">
        <f aca="true" t="shared" si="2" ref="C20:V20">+C6-C9-C10</f>
        <v>-1250250</v>
      </c>
      <c r="D20" s="144">
        <f t="shared" si="2"/>
        <v>-594513.9761191881</v>
      </c>
      <c r="E20" s="144">
        <f t="shared" si="2"/>
        <v>395444.09552324744</v>
      </c>
      <c r="F20" s="144">
        <f t="shared" si="2"/>
        <v>533680.1194040593</v>
      </c>
      <c r="G20" s="144">
        <f t="shared" si="2"/>
        <v>556180.1194040593</v>
      </c>
      <c r="H20" s="144">
        <f t="shared" si="2"/>
        <v>458444.09552324744</v>
      </c>
      <c r="I20" s="144">
        <f t="shared" si="2"/>
        <v>115736.02388081186</v>
      </c>
      <c r="J20" s="144">
        <f t="shared" si="2"/>
        <v>0</v>
      </c>
      <c r="K20" s="144">
        <f t="shared" si="2"/>
        <v>0</v>
      </c>
      <c r="L20" s="144">
        <f t="shared" si="2"/>
        <v>0</v>
      </c>
      <c r="M20" s="144">
        <f t="shared" si="2"/>
        <v>0</v>
      </c>
      <c r="N20" s="144">
        <f t="shared" si="2"/>
        <v>0</v>
      </c>
      <c r="O20" s="144">
        <f t="shared" si="2"/>
        <v>0</v>
      </c>
      <c r="P20" s="144">
        <f t="shared" si="2"/>
        <v>0</v>
      </c>
      <c r="Q20" s="144">
        <f t="shared" si="2"/>
        <v>0</v>
      </c>
      <c r="R20" s="144">
        <f t="shared" si="2"/>
        <v>0</v>
      </c>
      <c r="S20" s="144">
        <f t="shared" si="2"/>
        <v>0</v>
      </c>
      <c r="T20" s="144">
        <f t="shared" si="2"/>
        <v>0</v>
      </c>
      <c r="U20" s="144">
        <f t="shared" si="2"/>
        <v>0</v>
      </c>
      <c r="V20" s="144">
        <f t="shared" si="2"/>
        <v>0</v>
      </c>
      <c r="W20" s="142"/>
      <c r="X20" s="143">
        <f aca="true" t="shared" si="3" ref="X20:X26">SUM(C20:W20)</f>
        <v>214720.47761623719</v>
      </c>
    </row>
    <row r="21" spans="2:24" ht="15">
      <c r="B21" s="39" t="s">
        <v>284</v>
      </c>
      <c r="C21" s="144">
        <f aca="true" t="shared" si="4" ref="C21:V21">+C6-C9-C10+C13-C14-C15-C16</f>
        <v>-328650</v>
      </c>
      <c r="D21" s="144">
        <f t="shared" si="4"/>
        <v>-206250</v>
      </c>
      <c r="E21" s="144">
        <f t="shared" si="4"/>
        <v>-67500</v>
      </c>
      <c r="F21" s="144">
        <f t="shared" si="4"/>
        <v>-45000</v>
      </c>
      <c r="G21" s="144">
        <f t="shared" si="4"/>
        <v>24421.3847750555</v>
      </c>
      <c r="H21" s="144">
        <f t="shared" si="4"/>
        <v>458444.09552324744</v>
      </c>
      <c r="I21" s="144">
        <f t="shared" si="4"/>
        <v>115736.02388081186</v>
      </c>
      <c r="J21" s="144">
        <f t="shared" si="4"/>
        <v>0</v>
      </c>
      <c r="K21" s="144">
        <f t="shared" si="4"/>
        <v>0</v>
      </c>
      <c r="L21" s="144">
        <f t="shared" si="4"/>
        <v>0</v>
      </c>
      <c r="M21" s="144">
        <f t="shared" si="4"/>
        <v>0</v>
      </c>
      <c r="N21" s="144">
        <f t="shared" si="4"/>
        <v>0</v>
      </c>
      <c r="O21" s="144">
        <f t="shared" si="4"/>
        <v>0</v>
      </c>
      <c r="P21" s="144">
        <f t="shared" si="4"/>
        <v>0</v>
      </c>
      <c r="Q21" s="144">
        <f t="shared" si="4"/>
        <v>0</v>
      </c>
      <c r="R21" s="144">
        <f t="shared" si="4"/>
        <v>0</v>
      </c>
      <c r="S21" s="144">
        <f t="shared" si="4"/>
        <v>0</v>
      </c>
      <c r="T21" s="144">
        <f t="shared" si="4"/>
        <v>0</v>
      </c>
      <c r="U21" s="144">
        <f t="shared" si="4"/>
        <v>0</v>
      </c>
      <c r="V21" s="144">
        <f t="shared" si="4"/>
        <v>0</v>
      </c>
      <c r="W21" s="145"/>
      <c r="X21" s="143">
        <f t="shared" si="3"/>
        <v>-48798.49582088525</v>
      </c>
    </row>
    <row r="22" spans="2:24" ht="15">
      <c r="B22" s="10" t="s">
        <v>170</v>
      </c>
      <c r="C22" s="144"/>
      <c r="D22" s="144"/>
      <c r="E22" s="144"/>
      <c r="F22" s="144"/>
      <c r="G22" s="144"/>
      <c r="H22" s="144"/>
      <c r="I22" s="144"/>
      <c r="J22" s="144"/>
      <c r="K22" s="144"/>
      <c r="L22" s="144"/>
      <c r="M22" s="144"/>
      <c r="N22" s="144"/>
      <c r="O22" s="144"/>
      <c r="P22" s="144"/>
      <c r="Q22" s="144"/>
      <c r="R22" s="144"/>
      <c r="S22" s="144"/>
      <c r="T22" s="144"/>
      <c r="U22" s="144"/>
      <c r="V22" s="144"/>
      <c r="W22" s="142"/>
      <c r="X22" s="143">
        <f t="shared" si="3"/>
        <v>0</v>
      </c>
    </row>
    <row r="23" spans="2:24" ht="15">
      <c r="B23" s="501" t="s">
        <v>288</v>
      </c>
      <c r="C23" s="144">
        <f>MAX(-C18-C10,0)</f>
        <v>238650</v>
      </c>
      <c r="D23" s="144">
        <f aca="true" t="shared" si="5" ref="D23:V23">MAX(-D18-D10,0)</f>
        <v>120750</v>
      </c>
      <c r="E23" s="144">
        <f t="shared" si="5"/>
        <v>0</v>
      </c>
      <c r="F23" s="144">
        <f t="shared" si="5"/>
        <v>0</v>
      </c>
      <c r="G23" s="144">
        <f t="shared" si="5"/>
        <v>0</v>
      </c>
      <c r="H23" s="144">
        <f t="shared" si="5"/>
        <v>0</v>
      </c>
      <c r="I23" s="144">
        <f t="shared" si="5"/>
        <v>0</v>
      </c>
      <c r="J23" s="144">
        <f t="shared" si="5"/>
        <v>0</v>
      </c>
      <c r="K23" s="144">
        <f t="shared" si="5"/>
        <v>0</v>
      </c>
      <c r="L23" s="144">
        <f t="shared" si="5"/>
        <v>0</v>
      </c>
      <c r="M23" s="144">
        <f t="shared" si="5"/>
        <v>0</v>
      </c>
      <c r="N23" s="144">
        <f t="shared" si="5"/>
        <v>0</v>
      </c>
      <c r="O23" s="144">
        <f t="shared" si="5"/>
        <v>0</v>
      </c>
      <c r="P23" s="144">
        <f t="shared" si="5"/>
        <v>0</v>
      </c>
      <c r="Q23" s="144">
        <f t="shared" si="5"/>
        <v>0</v>
      </c>
      <c r="R23" s="144">
        <f t="shared" si="5"/>
        <v>0</v>
      </c>
      <c r="S23" s="144">
        <f t="shared" si="5"/>
        <v>0</v>
      </c>
      <c r="T23" s="144">
        <f t="shared" si="5"/>
        <v>0</v>
      </c>
      <c r="U23" s="144">
        <f t="shared" si="5"/>
        <v>0</v>
      </c>
      <c r="V23" s="144">
        <f t="shared" si="5"/>
        <v>0</v>
      </c>
      <c r="W23" s="142"/>
      <c r="X23" s="143">
        <f t="shared" si="3"/>
        <v>359400</v>
      </c>
    </row>
    <row r="24" spans="2:24" ht="15">
      <c r="B24" s="39" t="s">
        <v>293</v>
      </c>
      <c r="C24" s="144">
        <f>IF(C18&gt;0,0,MAX(-C10,C18)-X23)</f>
        <v>-449400</v>
      </c>
      <c r="D24" s="144">
        <f>IF(D18&gt;0,0,MAX(-D10,D18))</f>
        <v>-85500</v>
      </c>
      <c r="E24" s="144">
        <f>IF(E18&gt;0,0,MAX(-E10,E18))</f>
        <v>-67500</v>
      </c>
      <c r="F24" s="144">
        <f>IF(F18&gt;0,0,MAX(-F10,F18))</f>
        <v>-45000</v>
      </c>
      <c r="G24" s="144">
        <f>IF(G18&gt;0,0,MAX(-G10,G18))</f>
        <v>0</v>
      </c>
      <c r="H24" s="144">
        <f aca="true" t="shared" si="6" ref="H24:V24">IF(H18&gt;0,0,MAX(-H10,H18))</f>
        <v>0</v>
      </c>
      <c r="I24" s="144">
        <f t="shared" si="6"/>
        <v>0</v>
      </c>
      <c r="J24" s="144">
        <f t="shared" si="6"/>
        <v>0</v>
      </c>
      <c r="K24" s="144">
        <f t="shared" si="6"/>
        <v>0</v>
      </c>
      <c r="L24" s="144">
        <f t="shared" si="6"/>
        <v>0</v>
      </c>
      <c r="M24" s="144">
        <f t="shared" si="6"/>
        <v>0</v>
      </c>
      <c r="N24" s="144">
        <f t="shared" si="6"/>
        <v>0</v>
      </c>
      <c r="O24" s="144">
        <f t="shared" si="6"/>
        <v>0</v>
      </c>
      <c r="P24" s="144">
        <f t="shared" si="6"/>
        <v>0</v>
      </c>
      <c r="Q24" s="144">
        <f t="shared" si="6"/>
        <v>0</v>
      </c>
      <c r="R24" s="144">
        <f t="shared" si="6"/>
        <v>0</v>
      </c>
      <c r="S24" s="144">
        <f t="shared" si="6"/>
        <v>0</v>
      </c>
      <c r="T24" s="144">
        <f t="shared" si="6"/>
        <v>0</v>
      </c>
      <c r="U24" s="144">
        <f t="shared" si="6"/>
        <v>0</v>
      </c>
      <c r="V24" s="144">
        <f t="shared" si="6"/>
        <v>0</v>
      </c>
      <c r="W24" s="144"/>
      <c r="X24" s="505">
        <f t="shared" si="3"/>
        <v>-647400</v>
      </c>
    </row>
    <row r="25" spans="2:24" ht="15">
      <c r="B25" s="39" t="s">
        <v>280</v>
      </c>
      <c r="C25" s="144">
        <f aca="true" t="shared" si="7" ref="C25:I25">MAX(C18+C24,0)</f>
        <v>0</v>
      </c>
      <c r="D25" s="144">
        <f t="shared" si="7"/>
        <v>0</v>
      </c>
      <c r="E25" s="144">
        <f t="shared" si="7"/>
        <v>0</v>
      </c>
      <c r="F25" s="144">
        <f t="shared" si="7"/>
        <v>0</v>
      </c>
      <c r="G25" s="144">
        <f t="shared" si="7"/>
        <v>24421.3847750555</v>
      </c>
      <c r="H25" s="144">
        <f t="shared" si="7"/>
        <v>458444.09552324744</v>
      </c>
      <c r="I25" s="144">
        <f t="shared" si="7"/>
        <v>115736.02388081186</v>
      </c>
      <c r="J25" s="144">
        <f aca="true" t="shared" si="8" ref="J25:V25">MAX(J18+J24,0)</f>
        <v>0</v>
      </c>
      <c r="K25" s="144">
        <f t="shared" si="8"/>
        <v>0</v>
      </c>
      <c r="L25" s="144">
        <f t="shared" si="8"/>
        <v>0</v>
      </c>
      <c r="M25" s="144">
        <f t="shared" si="8"/>
        <v>0</v>
      </c>
      <c r="N25" s="144">
        <f t="shared" si="8"/>
        <v>0</v>
      </c>
      <c r="O25" s="144">
        <f t="shared" si="8"/>
        <v>0</v>
      </c>
      <c r="P25" s="144">
        <f t="shared" si="8"/>
        <v>0</v>
      </c>
      <c r="Q25" s="144">
        <f t="shared" si="8"/>
        <v>0</v>
      </c>
      <c r="R25" s="144">
        <f t="shared" si="8"/>
        <v>0</v>
      </c>
      <c r="S25" s="144">
        <f t="shared" si="8"/>
        <v>0</v>
      </c>
      <c r="T25" s="144">
        <f t="shared" si="8"/>
        <v>0</v>
      </c>
      <c r="U25" s="144">
        <f t="shared" si="8"/>
        <v>0</v>
      </c>
      <c r="V25" s="144">
        <f t="shared" si="8"/>
        <v>0</v>
      </c>
      <c r="W25" s="144"/>
      <c r="X25" s="505">
        <f t="shared" si="3"/>
        <v>598601.5041791148</v>
      </c>
    </row>
    <row r="26" spans="2:24" ht="15">
      <c r="B26" s="39" t="s">
        <v>281</v>
      </c>
      <c r="C26" s="144">
        <f aca="true" t="shared" si="9" ref="C26:V26">+C24+C25</f>
        <v>-449400</v>
      </c>
      <c r="D26" s="144">
        <f t="shared" si="9"/>
        <v>-85500</v>
      </c>
      <c r="E26" s="144">
        <f t="shared" si="9"/>
        <v>-67500</v>
      </c>
      <c r="F26" s="144">
        <f t="shared" si="9"/>
        <v>-45000</v>
      </c>
      <c r="G26" s="144">
        <f t="shared" si="9"/>
        <v>24421.3847750555</v>
      </c>
      <c r="H26" s="144">
        <f t="shared" si="9"/>
        <v>458444.09552324744</v>
      </c>
      <c r="I26" s="144">
        <f t="shared" si="9"/>
        <v>115736.02388081186</v>
      </c>
      <c r="J26" s="144">
        <f t="shared" si="9"/>
        <v>0</v>
      </c>
      <c r="K26" s="144">
        <f t="shared" si="9"/>
        <v>0</v>
      </c>
      <c r="L26" s="144">
        <f t="shared" si="9"/>
        <v>0</v>
      </c>
      <c r="M26" s="144">
        <f t="shared" si="9"/>
        <v>0</v>
      </c>
      <c r="N26" s="144">
        <f t="shared" si="9"/>
        <v>0</v>
      </c>
      <c r="O26" s="144">
        <f t="shared" si="9"/>
        <v>0</v>
      </c>
      <c r="P26" s="144">
        <f t="shared" si="9"/>
        <v>0</v>
      </c>
      <c r="Q26" s="144">
        <f t="shared" si="9"/>
        <v>0</v>
      </c>
      <c r="R26" s="144">
        <f t="shared" si="9"/>
        <v>0</v>
      </c>
      <c r="S26" s="144">
        <f t="shared" si="9"/>
        <v>0</v>
      </c>
      <c r="T26" s="144">
        <f t="shared" si="9"/>
        <v>0</v>
      </c>
      <c r="U26" s="144">
        <f t="shared" si="9"/>
        <v>0</v>
      </c>
      <c r="V26" s="144">
        <f t="shared" si="9"/>
        <v>0</v>
      </c>
      <c r="W26" s="142"/>
      <c r="X26" s="143">
        <f t="shared" si="3"/>
        <v>-48798.49582088525</v>
      </c>
    </row>
    <row r="27" spans="2:24" ht="15.75" thickBot="1">
      <c r="B27" s="32" t="s">
        <v>282</v>
      </c>
      <c r="C27" s="147">
        <f>C26</f>
        <v>-449400</v>
      </c>
      <c r="D27" s="147">
        <f aca="true" t="shared" si="10" ref="D27:V27">C27+D26</f>
        <v>-534900</v>
      </c>
      <c r="E27" s="147">
        <f t="shared" si="10"/>
        <v>-602400</v>
      </c>
      <c r="F27" s="147">
        <f t="shared" si="10"/>
        <v>-647400</v>
      </c>
      <c r="G27" s="147">
        <f t="shared" si="10"/>
        <v>-622978.6152249445</v>
      </c>
      <c r="H27" s="147">
        <f t="shared" si="10"/>
        <v>-164534.5197016971</v>
      </c>
      <c r="I27" s="147">
        <f t="shared" si="10"/>
        <v>-48798.49582088525</v>
      </c>
      <c r="J27" s="147">
        <f t="shared" si="10"/>
        <v>-48798.49582088525</v>
      </c>
      <c r="K27" s="147">
        <f t="shared" si="10"/>
        <v>-48798.49582088525</v>
      </c>
      <c r="L27" s="147">
        <f t="shared" si="10"/>
        <v>-48798.49582088525</v>
      </c>
      <c r="M27" s="147">
        <f t="shared" si="10"/>
        <v>-48798.49582088525</v>
      </c>
      <c r="N27" s="147">
        <f t="shared" si="10"/>
        <v>-48798.49582088525</v>
      </c>
      <c r="O27" s="147">
        <f t="shared" si="10"/>
        <v>-48798.49582088525</v>
      </c>
      <c r="P27" s="147">
        <f t="shared" si="10"/>
        <v>-48798.49582088525</v>
      </c>
      <c r="Q27" s="147">
        <f t="shared" si="10"/>
        <v>-48798.49582088525</v>
      </c>
      <c r="R27" s="147">
        <f t="shared" si="10"/>
        <v>-48798.49582088525</v>
      </c>
      <c r="S27" s="147">
        <f t="shared" si="10"/>
        <v>-48798.49582088525</v>
      </c>
      <c r="T27" s="147">
        <f t="shared" si="10"/>
        <v>-48798.49582088525</v>
      </c>
      <c r="U27" s="147">
        <f t="shared" si="10"/>
        <v>-48798.49582088525</v>
      </c>
      <c r="V27" s="147">
        <f t="shared" si="10"/>
        <v>-48798.49582088525</v>
      </c>
      <c r="W27" s="148"/>
      <c r="X27" s="148"/>
    </row>
    <row r="28" ht="15">
      <c r="B28" s="506" t="s">
        <v>294</v>
      </c>
    </row>
    <row r="29" spans="7:24" ht="15">
      <c r="G29" s="93"/>
      <c r="X29" s="93"/>
    </row>
    <row r="30" spans="7:24" ht="15">
      <c r="G30" s="93"/>
      <c r="X30" s="93"/>
    </row>
    <row r="31" ht="15">
      <c r="G31" s="93"/>
    </row>
    <row r="32" ht="15">
      <c r="G32" s="93"/>
    </row>
    <row r="33" ht="15">
      <c r="G33" s="93"/>
    </row>
    <row r="34" ht="15">
      <c r="G34" s="93"/>
    </row>
    <row r="35" ht="15">
      <c r="G35" s="93"/>
    </row>
    <row r="36" ht="15">
      <c r="G36" s="93"/>
    </row>
    <row r="37" ht="15">
      <c r="G37" s="93"/>
    </row>
    <row r="38" ht="15">
      <c r="G38" s="93"/>
    </row>
    <row r="39" ht="15">
      <c r="G39" s="93"/>
    </row>
    <row r="40" ht="15">
      <c r="G40" s="93"/>
    </row>
    <row r="41" ht="15">
      <c r="G41" s="93"/>
    </row>
    <row r="42" ht="15">
      <c r="G42" s="93"/>
    </row>
    <row r="43" ht="15">
      <c r="G43" s="93"/>
    </row>
    <row r="44" ht="15">
      <c r="G44" s="93"/>
    </row>
    <row r="45" ht="15">
      <c r="G45" s="93"/>
    </row>
    <row r="46" ht="15">
      <c r="G46" s="93"/>
    </row>
  </sheetData>
  <sheetProtection password="CFB3" sheet="1"/>
  <printOptions/>
  <pageMargins left="0.75" right="0.75" top="1" bottom="1"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Coomer, Ben</dc:creator>
  <cp:keywords/>
  <dc:description/>
  <cp:lastModifiedBy>Richardson, Whitney</cp:lastModifiedBy>
  <dcterms:created xsi:type="dcterms:W3CDTF">2019-07-18T13:47:32Z</dcterms:created>
  <dcterms:modified xsi:type="dcterms:W3CDTF">2020-09-17T14:27:36Z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